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fileSharing readOnlyRecommended="1"/>
  <workbookPr/>
  <mc:AlternateContent xmlns:mc="http://schemas.openxmlformats.org/markup-compatibility/2006">
    <mc:Choice Requires="x15">
      <x15ac:absPath xmlns:x15ac="http://schemas.microsoft.com/office/spreadsheetml/2010/11/ac" url="/Users/susannemonahan/Dropbox/WOU/WOUFT/2021 bargain/"/>
    </mc:Choice>
  </mc:AlternateContent>
  <xr:revisionPtr revIDLastSave="0" documentId="8_{2CAC2687-880D-BF42-BF67-AC3DFD7E1007}" xr6:coauthVersionLast="46" xr6:coauthVersionMax="46" xr10:uidLastSave="{00000000-0000-0000-0000-000000000000}"/>
  <bookViews>
    <workbookView xWindow="0" yWindow="460" windowWidth="20740" windowHeight="11160" activeTab="2" xr2:uid="{00000000-000D-0000-FFFF-FFFF00000000}"/>
  </bookViews>
  <sheets>
    <sheet name="Summary" sheetId="13" state="hidden" r:id="rId1"/>
    <sheet name="E&amp;G Detail" sheetId="16" state="hidden" r:id="rId2"/>
    <sheet name="Sheet1" sheetId="18" r:id="rId3"/>
  </sheets>
  <definedNames>
    <definedName name="_xlnm.Print_Area" localSheetId="1">'E&amp;G Detail'!$A$1:$H$92</definedName>
    <definedName name="_xlnm.Print_Area" localSheetId="0">Summary!$A$1:$J$24</definedName>
    <definedName name="_xlnm.Print_Titles" localSheetId="1">'E&amp;G Detail'!$1:$4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hcUc04bpCM1F7u9JyIHnR+0ttwsA=="/>
    </ext>
  </extLst>
</workbook>
</file>

<file path=xl/calcChain.xml><?xml version="1.0" encoding="utf-8"?>
<calcChain xmlns="http://schemas.openxmlformats.org/spreadsheetml/2006/main">
  <c r="H24" i="18" l="1"/>
  <c r="E22" i="18" l="1"/>
  <c r="E20" i="18"/>
  <c r="E18" i="18"/>
  <c r="J22" i="18" l="1"/>
  <c r="I22" i="18"/>
  <c r="H22" i="18"/>
  <c r="J20" i="18"/>
  <c r="I20" i="18"/>
  <c r="H20" i="18"/>
  <c r="G21" i="18"/>
  <c r="G12" i="18" l="1"/>
  <c r="J24" i="18" l="1"/>
  <c r="I24" i="18"/>
  <c r="E10" i="18"/>
  <c r="E28" i="18"/>
  <c r="E14" i="18"/>
  <c r="E30" i="18" l="1"/>
  <c r="I10" i="18" l="1"/>
  <c r="J10" i="18" s="1"/>
  <c r="J9" i="18"/>
  <c r="J8" i="18"/>
  <c r="G10" i="18"/>
  <c r="H10" i="18" l="1"/>
  <c r="H9" i="18"/>
  <c r="H8" i="18"/>
  <c r="I11" i="18"/>
  <c r="J11" i="18" s="1"/>
  <c r="H11" i="18"/>
  <c r="I23" i="18"/>
  <c r="J23" i="18" l="1"/>
  <c r="H23" i="18"/>
  <c r="J12" i="18" l="1"/>
  <c r="I12" i="18" l="1"/>
  <c r="J27" i="18" l="1"/>
  <c r="J26" i="18"/>
  <c r="I27" i="18"/>
  <c r="I26" i="18"/>
  <c r="H27" i="18"/>
  <c r="H26" i="18"/>
  <c r="H13" i="18"/>
  <c r="H14" i="18" s="1"/>
  <c r="G14" i="18"/>
  <c r="J13" i="18"/>
  <c r="J14" i="18" s="1"/>
  <c r="I13" i="18"/>
  <c r="I14" i="18" s="1"/>
  <c r="H61" i="16" l="1"/>
  <c r="E12" i="13" l="1"/>
  <c r="E9" i="13"/>
  <c r="E11" i="13"/>
  <c r="E10" i="13"/>
  <c r="E57" i="16" l="1"/>
  <c r="H83" i="16" l="1"/>
  <c r="H82" i="16"/>
  <c r="H81" i="16"/>
  <c r="H62" i="16"/>
  <c r="H53" i="16"/>
  <c r="H51" i="16"/>
  <c r="H50" i="16"/>
  <c r="H49" i="16"/>
  <c r="H48" i="16"/>
  <c r="H44" i="16"/>
  <c r="H43" i="16"/>
  <c r="H42" i="16"/>
  <c r="H34" i="16"/>
  <c r="H32" i="16"/>
  <c r="H31" i="16"/>
  <c r="H30" i="16"/>
  <c r="H25" i="16"/>
  <c r="H22" i="16"/>
  <c r="H21" i="16"/>
  <c r="H17" i="16"/>
  <c r="H16" i="16"/>
  <c r="H15" i="16"/>
  <c r="H11" i="16"/>
  <c r="H10" i="16"/>
  <c r="H9" i="16"/>
  <c r="E82" i="16"/>
  <c r="E80" i="16"/>
  <c r="G52" i="16"/>
  <c r="G45" i="16"/>
  <c r="E8" i="13" s="1"/>
  <c r="G35" i="16"/>
  <c r="G23" i="16"/>
  <c r="G18" i="16"/>
  <c r="G12" i="16"/>
  <c r="F84" i="16"/>
  <c r="F69" i="16"/>
  <c r="F64" i="16"/>
  <c r="E83" i="16"/>
  <c r="E79" i="16"/>
  <c r="E76" i="16"/>
  <c r="E52" i="16"/>
  <c r="E45" i="16"/>
  <c r="E35" i="16"/>
  <c r="E23" i="16"/>
  <c r="E18" i="16"/>
  <c r="E12" i="16"/>
  <c r="F73" i="16" l="1"/>
  <c r="G27" i="16"/>
  <c r="E27" i="16"/>
  <c r="E39" i="16" s="1"/>
  <c r="E54" i="16" s="1"/>
  <c r="E69" i="16"/>
  <c r="E84" i="16"/>
  <c r="E64" i="16"/>
  <c r="G39" i="16" l="1"/>
  <c r="E7" i="13" s="1"/>
  <c r="E73" i="16"/>
  <c r="E86" i="16" s="1"/>
  <c r="G54" i="16" l="1"/>
  <c r="G78" i="16" l="1"/>
  <c r="H78" i="16" s="1"/>
  <c r="G77" i="16"/>
  <c r="H77" i="16" s="1"/>
  <c r="F52" i="16"/>
  <c r="H52" i="16" s="1"/>
  <c r="F45" i="16"/>
  <c r="H45" i="16" s="1"/>
  <c r="F37" i="16"/>
  <c r="H37" i="16" s="1"/>
  <c r="F33" i="16"/>
  <c r="F23" i="16"/>
  <c r="H23" i="16" s="1"/>
  <c r="F18" i="16"/>
  <c r="H18" i="16" s="1"/>
  <c r="F8" i="16"/>
  <c r="F12" i="16" l="1"/>
  <c r="H8" i="16"/>
  <c r="F35" i="16"/>
  <c r="H35" i="16" s="1"/>
  <c r="H33" i="16"/>
  <c r="F27" i="16" l="1"/>
  <c r="H12" i="16"/>
  <c r="H27" i="16" l="1"/>
  <c r="F39" i="16"/>
  <c r="F54" i="16" l="1"/>
  <c r="H39" i="16"/>
  <c r="F86" i="16" l="1"/>
  <c r="H54" i="16"/>
  <c r="G76" i="16" l="1"/>
  <c r="H76" i="16" l="1"/>
  <c r="J8" i="13"/>
  <c r="E13" i="13" l="1"/>
  <c r="G12" i="13" l="1"/>
  <c r="H21" i="13"/>
  <c r="H11" i="13"/>
  <c r="H9" i="13"/>
  <c r="G80" i="16"/>
  <c r="H80" i="16" s="1"/>
  <c r="G79" i="16"/>
  <c r="H10" i="13" l="1"/>
  <c r="H79" i="16"/>
  <c r="G84" i="16"/>
  <c r="H12" i="13"/>
  <c r="G9" i="13"/>
  <c r="G7" i="13"/>
  <c r="G10" i="13"/>
  <c r="F11" i="13"/>
  <c r="F12" i="13"/>
  <c r="F7" i="13"/>
  <c r="F9" i="13"/>
  <c r="G68" i="16"/>
  <c r="H68" i="16" s="1"/>
  <c r="G60" i="16"/>
  <c r="H60" i="16" s="1"/>
  <c r="F18" i="13"/>
  <c r="F10" i="13"/>
  <c r="G21" i="13" l="1"/>
  <c r="J9" i="13"/>
  <c r="J10" i="13"/>
  <c r="H84" i="16"/>
  <c r="E21" i="13"/>
  <c r="G71" i="16"/>
  <c r="J12" i="13"/>
  <c r="F13" i="13"/>
  <c r="G11" i="13"/>
  <c r="G13" i="13" s="1"/>
  <c r="H7" i="13"/>
  <c r="J7" i="13" s="1"/>
  <c r="H16" i="13"/>
  <c r="I19" i="18" l="1"/>
  <c r="H19" i="18"/>
  <c r="J19" i="18"/>
  <c r="G59" i="16"/>
  <c r="H59" i="16" s="1"/>
  <c r="G58" i="16"/>
  <c r="H58" i="16" s="1"/>
  <c r="G67" i="16"/>
  <c r="G69" i="16" s="1"/>
  <c r="H71" i="16"/>
  <c r="E18" i="13"/>
  <c r="J18" i="13" s="1"/>
  <c r="G57" i="16"/>
  <c r="H57" i="16" s="1"/>
  <c r="J11" i="13"/>
  <c r="J13" i="13" s="1"/>
  <c r="H13" i="13"/>
  <c r="H17" i="13"/>
  <c r="H19" i="13" s="1"/>
  <c r="H21" i="18" l="1"/>
  <c r="J21" i="18"/>
  <c r="I21" i="18"/>
  <c r="I25" i="18"/>
  <c r="H25" i="18"/>
  <c r="J25" i="18"/>
  <c r="J18" i="18"/>
  <c r="H18" i="18"/>
  <c r="I18" i="18"/>
  <c r="G28" i="18"/>
  <c r="G30" i="18" s="1"/>
  <c r="H67" i="16"/>
  <c r="H69" i="16"/>
  <c r="E17" i="13"/>
  <c r="G63" i="16"/>
  <c r="H23" i="13"/>
  <c r="F16" i="13"/>
  <c r="I28" i="18" l="1"/>
  <c r="I30" i="18" s="1"/>
  <c r="H28" i="18"/>
  <c r="H30" i="18" s="1"/>
  <c r="J28" i="18"/>
  <c r="J30" i="18" s="1"/>
  <c r="F17" i="13"/>
  <c r="J17" i="13" s="1"/>
  <c r="G64" i="16"/>
  <c r="E16" i="13" s="1"/>
  <c r="J16" i="13" s="1"/>
  <c r="H63" i="16"/>
  <c r="G19" i="13"/>
  <c r="G23" i="13" s="1"/>
  <c r="G73" i="16" l="1"/>
  <c r="H64" i="16"/>
  <c r="E19" i="13"/>
  <c r="E23" i="13" s="1"/>
  <c r="F19" i="13"/>
  <c r="F21" i="13"/>
  <c r="G86" i="16" l="1"/>
  <c r="H73" i="16"/>
  <c r="J21" i="13"/>
  <c r="F23" i="13"/>
  <c r="J19" i="13"/>
  <c r="H86" i="16" l="1"/>
  <c r="G90" i="16"/>
  <c r="G92" i="16" s="1"/>
  <c r="J2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Camarie Campfield</author>
  </authors>
  <commentList>
    <comment ref="G16" authorId="0" shapeId="0" xr:uid="{61EDE17A-A754-4A0E-A637-89FC2AAA1A4B}">
      <text>
        <r>
          <rPr>
            <b/>
            <sz val="9"/>
            <color indexed="81"/>
            <rFont val="Tahoma"/>
            <family val="2"/>
          </rPr>
          <t>Camarie Campfield:</t>
        </r>
        <r>
          <rPr>
            <sz val="9"/>
            <color indexed="81"/>
            <rFont val="Tahoma"/>
            <family val="2"/>
          </rPr>
          <t xml:space="preserve">
Hard coded to agree to Adopted</t>
        </r>
      </text>
    </comment>
    <comment ref="G17" authorId="0" shapeId="0" xr:uid="{64DF0108-798C-4909-977E-40338F9DC8ED}">
      <text>
        <r>
          <rPr>
            <b/>
            <sz val="9"/>
            <color indexed="81"/>
            <rFont val="Tahoma"/>
            <family val="2"/>
          </rPr>
          <t>Camarie Campfield:</t>
        </r>
        <r>
          <rPr>
            <sz val="9"/>
            <color indexed="81"/>
            <rFont val="Tahoma"/>
            <family val="2"/>
          </rPr>
          <t xml:space="preserve">
Hard coded to agree to adopted</t>
        </r>
      </text>
    </comment>
  </commentList>
</comments>
</file>

<file path=xl/sharedStrings.xml><?xml version="1.0" encoding="utf-8"?>
<sst xmlns="http://schemas.openxmlformats.org/spreadsheetml/2006/main" count="155" uniqueCount="126">
  <si>
    <t>Western Oregon University</t>
  </si>
  <si>
    <t>Other</t>
  </si>
  <si>
    <t>Student</t>
  </si>
  <si>
    <t>Tuition</t>
  </si>
  <si>
    <t>Investment</t>
  </si>
  <si>
    <t>Fees</t>
  </si>
  <si>
    <t>Revenues</t>
  </si>
  <si>
    <t>OPE</t>
  </si>
  <si>
    <t>Summer</t>
  </si>
  <si>
    <t>Total</t>
  </si>
  <si>
    <t>Note</t>
  </si>
  <si>
    <t>Fee Remissions</t>
  </si>
  <si>
    <t>Athletics Subsidy</t>
  </si>
  <si>
    <t>Jensen Endowment Fund Match</t>
  </si>
  <si>
    <t>Total Personnel</t>
  </si>
  <si>
    <t>Personnel</t>
  </si>
  <si>
    <t>Capital Outlay</t>
  </si>
  <si>
    <t>Enrollment Fees</t>
  </si>
  <si>
    <t>Total Revenues</t>
  </si>
  <si>
    <t>Expenses</t>
  </si>
  <si>
    <t>Sales &amp; Services</t>
  </si>
  <si>
    <t>Total Expenses</t>
  </si>
  <si>
    <t>Net Transfers</t>
  </si>
  <si>
    <t>Other Revenues</t>
  </si>
  <si>
    <t>Government Resources &amp; Allocations</t>
  </si>
  <si>
    <t>Gift Grants and Contracts</t>
  </si>
  <si>
    <t>Undergraduate Tuition</t>
  </si>
  <si>
    <t>Resident</t>
  </si>
  <si>
    <t>WUE</t>
  </si>
  <si>
    <t>Non-Resident</t>
  </si>
  <si>
    <t>Graduate Tuition</t>
  </si>
  <si>
    <t xml:space="preserve">Resident </t>
  </si>
  <si>
    <t>Matriculation</t>
  </si>
  <si>
    <t>Online</t>
  </si>
  <si>
    <t>Total Graduate Tuition</t>
  </si>
  <si>
    <t>Total Undergraduate Tuition</t>
  </si>
  <si>
    <t>Total Tuition</t>
  </si>
  <si>
    <t>Other Tuition</t>
  </si>
  <si>
    <t>Total Fees</t>
  </si>
  <si>
    <t>Course</t>
  </si>
  <si>
    <t>Application</t>
  </si>
  <si>
    <t>Student Success &amp; Completion (SSCM)</t>
  </si>
  <si>
    <t>Small-Energy Loan Program (SELP)</t>
  </si>
  <si>
    <t>Engineering Technology (ETSF)</t>
  </si>
  <si>
    <t>Undergraduate</t>
  </si>
  <si>
    <t>Graduate</t>
  </si>
  <si>
    <t>Total Summer</t>
  </si>
  <si>
    <t>Total Other Revenues</t>
  </si>
  <si>
    <t>Total Government Resources &amp; Allocations</t>
  </si>
  <si>
    <t>Other Payroll Expenses (OPE)</t>
  </si>
  <si>
    <t>Services &amp; Supplies</t>
  </si>
  <si>
    <t>Internal Sales</t>
  </si>
  <si>
    <t>Total Services &amp; Supplies</t>
  </si>
  <si>
    <t>Child Development Center Subsidy</t>
  </si>
  <si>
    <t>Unemployment Insurance</t>
  </si>
  <si>
    <t>Total Net Transfers</t>
  </si>
  <si>
    <t>Education &amp; General (E&amp;G)</t>
  </si>
  <si>
    <t>Incidental Fee (IFC)</t>
  </si>
  <si>
    <t>Student Pay</t>
  </si>
  <si>
    <t>Faculty Salary &amp; Wages</t>
  </si>
  <si>
    <t>Unclassified Salary &amp; Wages</t>
  </si>
  <si>
    <t>Classified Salary &amp; Wages</t>
  </si>
  <si>
    <t>Foundation Endowment Earnings</t>
  </si>
  <si>
    <t xml:space="preserve">Services &amp; Supplies </t>
  </si>
  <si>
    <t>Designated Operations &amp; Service Depts</t>
  </si>
  <si>
    <t>Overall Budget Summary</t>
  </si>
  <si>
    <t>Net Budget</t>
  </si>
  <si>
    <t>Education &amp; General Fund Detail</t>
  </si>
  <si>
    <t>FY20 Actuals</t>
  </si>
  <si>
    <t>Incidental Fee Subsidy</t>
  </si>
  <si>
    <t>FY20 Ending Fund Balance</t>
  </si>
  <si>
    <t>Salem Vick Building Purchase</t>
  </si>
  <si>
    <t>Misc. Other Transfers</t>
  </si>
  <si>
    <t>Tuition &amp; Fees</t>
  </si>
  <si>
    <t>Total Tuition &amp; Fees (net of remissions)</t>
  </si>
  <si>
    <t>FY21 (Adopted June 10, 2020 BOT Meeting) Budget</t>
  </si>
  <si>
    <t>SELP Funding Match</t>
  </si>
  <si>
    <t>Auxiliary (excluding IFC)</t>
  </si>
  <si>
    <t>FY21 Proposed Adjusted Budget</t>
  </si>
  <si>
    <t>Reserve for Vacation Payouts</t>
  </si>
  <si>
    <t>Interest Earnings/Investment</t>
  </si>
  <si>
    <t>Projected FY21 Ending Fund Balance</t>
  </si>
  <si>
    <t>Fund Balance as a Percentage of Revenues</t>
  </si>
  <si>
    <t>Net</t>
  </si>
  <si>
    <t>Approximately 8,500 credit hours</t>
  </si>
  <si>
    <t>Based on 7.5% enrollment decline - approximately 148,200 credit hours (accounting for attrition between terms)</t>
  </si>
  <si>
    <t>Corresponds to reduction in S&amp;S</t>
  </si>
  <si>
    <t>Reflective of full funding in second year of biennium.</t>
  </si>
  <si>
    <t>Decrease in general admin overhead on auxiliary expenses</t>
  </si>
  <si>
    <t>$1M for fall and a potential additional $1M for winter and spring terms</t>
  </si>
  <si>
    <t>Savings in personnel reductions</t>
  </si>
  <si>
    <t>Additional $100K in operating reserve, $400K increase in bad debt expense, $200K decrease in course fees, $50K for Campus Logic purchase</t>
  </si>
  <si>
    <t>Actual assessed fall of $2.7M, 10% attrition in winter, and 20% of courses being offered online in spring</t>
  </si>
  <si>
    <t>Interest not assessed on students accounts for 3 months due to COVID-19; interest earnings at an all time low</t>
  </si>
  <si>
    <t>Part-year savings from position eliminations.</t>
  </si>
  <si>
    <t>Additional furlough and LWOP savings; part-year savings from position eliminations.</t>
  </si>
  <si>
    <t>FY20 Actuals adjusted to add back $1.8M CARES reimbursement; adjusted budget reflects savings identified by the Deans.</t>
  </si>
  <si>
    <t>Difference FY21 Adopted Budget to FY21 Proposed Adjusted Budget</t>
  </si>
  <si>
    <t xml:space="preserve">*Incidental Fee expenses currently reflect the original allocation from last spring. The Committee has made an updated fall term allocation and are currently in session to set the budget for the rest of the year. Expenses will be updated as additional decisions are made. </t>
  </si>
  <si>
    <t>State Appropriations</t>
  </si>
  <si>
    <t>S&amp;S/Other</t>
  </si>
  <si>
    <t>Transfers</t>
  </si>
  <si>
    <t>Total Expenses &amp; Transfers</t>
  </si>
  <si>
    <t>Net Operating</t>
  </si>
  <si>
    <t>-10% Enrollment</t>
  </si>
  <si>
    <t>-5% Enrollment</t>
  </si>
  <si>
    <t>Flat PUSF</t>
  </si>
  <si>
    <t>Online fees</t>
  </si>
  <si>
    <t>Other fees</t>
  </si>
  <si>
    <t>Fee remissions</t>
  </si>
  <si>
    <t>Adjusted</t>
  </si>
  <si>
    <t>FY21 Budget</t>
  </si>
  <si>
    <t>Vacation Payout/Unemployment</t>
  </si>
  <si>
    <t>Increased retirement contribution rate</t>
  </si>
  <si>
    <t>DRAFT E&amp;G Budget</t>
  </si>
  <si>
    <t>Faculty &amp; Unclassified Pay</t>
  </si>
  <si>
    <t>Faculty Salaries</t>
  </si>
  <si>
    <t>Unclassified Salaries</t>
  </si>
  <si>
    <t>Classified Salaries</t>
  </si>
  <si>
    <t>Classified Pay</t>
  </si>
  <si>
    <t>Based on latest information - $800K shy of target of $1.5M</t>
  </si>
  <si>
    <t>$890M PUSF</t>
  </si>
  <si>
    <t>As of 4/9/21</t>
  </si>
  <si>
    <t xml:space="preserve">$900M (CSL) totals $31,452,532 for WOU </t>
  </si>
  <si>
    <t>Summary FY22</t>
  </si>
  <si>
    <t>Adjusted FY21 budget incorporates LWOP &amp; furlough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</si>
</sst>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0_);_(* \(#,##0.0000\);_(* &quot;-&quot;??_);_(@_)"/>
    <numFmt numFmtId="166" formatCode="_(* #,##0.0_);_(* \(#,##0.0\);_(* &quot;-&quot;??_);_(@_)"/>
  </numFmts>
  <fonts count="8" x14ac:knownFonts="1">
    <font>
      <sz val="11"/>
      <color theme="1"/>
      <name val="Arial"/>
    </font>
    <font>
      <sz val="11"/>
      <color theme="1"/>
      <name val="Arial"/>
      <family val="2"/>
    </font>
    <font>
      <b/>
      <sz val="11"/>
      <color theme="1"/>
      <name val="Arial"/>
      <family val="2"/>
    </font>
    <font>
      <sz val="12"/>
      <color theme="1"/>
      <name val="Arial"/>
      <family val="2"/>
    </font>
    <font>
      <b/>
      <sz val="12"/>
      <color theme="1"/>
      <name val="Arial"/>
      <family val="2"/>
    </font>
    <font>
      <sz val="9"/>
      <color indexed="81"/>
      <name val="Tahoma"/>
      <family val="2"/>
    </font>
    <font>
      <b/>
      <sz val="9"/>
      <color indexed="81"/>
      <name val="Tahoma"/>
      <family val="2"/>
    </font>
    <font>
      <u val="singleAccounting"/>
      <sz val="11"/>
      <color theme="1"/>
      <name val="Arial"/>
      <family val="2"/>
    </font>
  </fonts>
  <fills count="2">
    <fill>
      <patternFill patternType="none"/>
    </fill>
    <fill>
      <patternFill patternType="gray125"/>
    </fill>
  </fills>
  <borders count="3">
    <border>
      <left/>
      <right/>
      <top/>
      <bottom/>
      <diagonal/>
    </border>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
    <xf numFmtId="0" fontId="0" fillId="0" borderId="0" xfId="0" applyFont="1" applyAlignment="1"/>
    <xf numFmtId="0" fontId="1" fillId="0" borderId="0" xfId="0" applyFont="1" applyAlignment="1"/>
    <xf numFmtId="164" fontId="3" fillId="0" borderId="0" xfId="1" applyNumberFormat="1" applyFont="1" applyAlignment="1"/>
    <xf numFmtId="164" fontId="3" fillId="0" borderId="2" xfId="1" applyNumberFormat="1" applyFont="1" applyBorder="1" applyAlignment="1"/>
    <xf numFmtId="164" fontId="4" fillId="0" borderId="0" xfId="1" applyNumberFormat="1" applyFont="1" applyAlignment="1"/>
    <xf numFmtId="164" fontId="3" fillId="0" borderId="1" xfId="1" applyNumberFormat="1" applyFont="1" applyBorder="1" applyAlignment="1"/>
    <xf numFmtId="164" fontId="3" fillId="0" borderId="0" xfId="1" applyNumberFormat="1" applyFont="1" applyAlignment="1">
      <alignment wrapText="1"/>
    </xf>
    <xf numFmtId="164" fontId="4" fillId="0" borderId="0" xfId="1" applyNumberFormat="1" applyFont="1" applyAlignment="1">
      <alignment horizontal="center" wrapText="1"/>
    </xf>
    <xf numFmtId="164" fontId="4" fillId="0" borderId="1" xfId="1" applyNumberFormat="1" applyFont="1" applyBorder="1" applyAlignment="1">
      <alignment horizontal="center" wrapText="1"/>
    </xf>
    <xf numFmtId="164" fontId="4" fillId="0" borderId="1" xfId="1" applyNumberFormat="1" applyFont="1" applyBorder="1" applyAlignment="1"/>
    <xf numFmtId="164" fontId="4" fillId="0" borderId="2" xfId="1" applyNumberFormat="1" applyFont="1" applyBorder="1" applyAlignment="1"/>
    <xf numFmtId="166" fontId="3" fillId="0" borderId="0" xfId="1" applyNumberFormat="1" applyFont="1" applyAlignment="1"/>
    <xf numFmtId="165" fontId="3" fillId="0" borderId="0" xfId="1" applyNumberFormat="1" applyFont="1" applyAlignment="1"/>
    <xf numFmtId="164" fontId="0" fillId="0" borderId="0" xfId="1" applyNumberFormat="1" applyFont="1" applyAlignment="1"/>
    <xf numFmtId="0" fontId="0" fillId="0" borderId="0" xfId="0" applyFont="1" applyAlignment="1"/>
    <xf numFmtId="0" fontId="0" fillId="0" borderId="0" xfId="0" applyFont="1" applyAlignment="1"/>
    <xf numFmtId="164" fontId="4" fillId="0" borderId="0" xfId="1" applyNumberFormat="1" applyFont="1" applyAlignment="1">
      <alignment horizontal="center"/>
    </xf>
    <xf numFmtId="0" fontId="3" fillId="0" borderId="0" xfId="0" applyFont="1" applyAlignment="1"/>
    <xf numFmtId="164" fontId="3" fillId="0" borderId="0" xfId="0" applyNumberFormat="1" applyFont="1" applyAlignment="1"/>
    <xf numFmtId="0" fontId="0" fillId="0" borderId="0" xfId="0" applyFont="1" applyAlignment="1"/>
    <xf numFmtId="0" fontId="3" fillId="0" borderId="0" xfId="0" applyFont="1" applyAlignment="1">
      <alignment wrapText="1"/>
    </xf>
    <xf numFmtId="164" fontId="3" fillId="0" borderId="0" xfId="1" applyNumberFormat="1" applyFont="1" applyAlignment="1">
      <alignment vertical="top"/>
    </xf>
    <xf numFmtId="0" fontId="0" fillId="0" borderId="0" xfId="0" applyFont="1" applyAlignment="1">
      <alignment vertical="top"/>
    </xf>
    <xf numFmtId="164" fontId="4" fillId="0" borderId="0" xfId="1" applyNumberFormat="1" applyFont="1" applyAlignment="1">
      <alignment horizontal="center" vertical="top"/>
    </xf>
    <xf numFmtId="164" fontId="4" fillId="0" borderId="0" xfId="1" applyNumberFormat="1" applyFont="1" applyAlignment="1">
      <alignment horizontal="center" vertical="top" wrapText="1"/>
    </xf>
    <xf numFmtId="164" fontId="3" fillId="0" borderId="2" xfId="1" applyNumberFormat="1" applyFont="1" applyBorder="1" applyAlignment="1">
      <alignment vertical="top"/>
    </xf>
    <xf numFmtId="164" fontId="4" fillId="0" borderId="0" xfId="1" applyNumberFormat="1" applyFont="1" applyAlignment="1">
      <alignment vertical="top"/>
    </xf>
    <xf numFmtId="164" fontId="3" fillId="0" borderId="0" xfId="1" applyNumberFormat="1" applyFont="1" applyFill="1" applyAlignment="1">
      <alignment vertical="top"/>
    </xf>
    <xf numFmtId="164" fontId="3" fillId="0" borderId="2" xfId="1" applyNumberFormat="1" applyFont="1" applyFill="1" applyBorder="1" applyAlignment="1">
      <alignment vertical="top"/>
    </xf>
    <xf numFmtId="164" fontId="4" fillId="0" borderId="2" xfId="1" applyNumberFormat="1" applyFont="1" applyBorder="1" applyAlignment="1">
      <alignment vertical="top"/>
    </xf>
    <xf numFmtId="10" fontId="4" fillId="0" borderId="0" xfId="2" applyNumberFormat="1" applyFont="1" applyAlignment="1">
      <alignment vertical="top"/>
    </xf>
    <xf numFmtId="43" fontId="0" fillId="0" borderId="0" xfId="0" applyNumberFormat="1" applyFont="1" applyAlignment="1">
      <alignment vertical="top"/>
    </xf>
    <xf numFmtId="0" fontId="0" fillId="0" borderId="0" xfId="0" applyFont="1" applyAlignment="1"/>
    <xf numFmtId="0" fontId="0" fillId="0" borderId="0" xfId="0" applyFont="1" applyAlignment="1"/>
    <xf numFmtId="164" fontId="7" fillId="0" borderId="0" xfId="1" applyNumberFormat="1" applyFont="1" applyAlignment="1"/>
    <xf numFmtId="0" fontId="2" fillId="0" borderId="0" xfId="0" applyFont="1" applyAlignment="1"/>
    <xf numFmtId="164" fontId="2" fillId="0" borderId="0" xfId="1" applyNumberFormat="1" applyFont="1" applyAlignment="1"/>
    <xf numFmtId="164" fontId="2" fillId="0" borderId="0" xfId="1" applyNumberFormat="1" applyFont="1" applyAlignment="1">
      <alignment horizontal="center"/>
    </xf>
    <xf numFmtId="164" fontId="0" fillId="0" borderId="0" xfId="1" applyNumberFormat="1" applyFont="1" applyFill="1" applyAlignment="1"/>
    <xf numFmtId="164" fontId="7" fillId="0" borderId="0" xfId="1" applyNumberFormat="1" applyFont="1" applyFill="1" applyAlignment="1"/>
    <xf numFmtId="49" fontId="3" fillId="0" borderId="0" xfId="1" applyNumberFormat="1" applyFont="1" applyAlignment="1">
      <alignment horizontal="left" wrapText="1"/>
    </xf>
    <xf numFmtId="164" fontId="2" fillId="0" borderId="0" xfId="1" quotePrefix="1"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19" Type="http://schemas.openxmlformats.org/officeDocument/2006/relationships/theme" Target="theme/theme1.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61D3-F733-40A6-8247-DAD99B667144}">
  <sheetPr>
    <pageSetUpPr fitToPage="1"/>
  </sheetPr>
  <dimension ref="A1:K29"/>
  <sheetViews>
    <sheetView topLeftCell="A3" zoomScaleNormal="100" workbookViewId="0">
      <selection activeCell="G64" sqref="G64"/>
    </sheetView>
  </sheetViews>
  <sheetFormatPr baseColWidth="10" defaultColWidth="9" defaultRowHeight="16" x14ac:dyDescent="0.2"/>
  <cols>
    <col min="1" max="1" width="2.6640625" style="4" customWidth="1"/>
    <col min="2" max="2" width="2.6640625" style="2" customWidth="1"/>
    <col min="3" max="3" width="33.83203125" style="2" customWidth="1"/>
    <col min="4" max="4" width="2.6640625" style="2" customWidth="1"/>
    <col min="5" max="8" width="15.6640625" style="2" customWidth="1"/>
    <col min="9" max="9" width="2.6640625" style="5" customWidth="1"/>
    <col min="10" max="10" width="15.6640625" style="2" customWidth="1"/>
    <col min="11" max="16384" width="9" style="2"/>
  </cols>
  <sheetData>
    <row r="1" spans="1:10" x14ac:dyDescent="0.2">
      <c r="A1" s="4" t="s">
        <v>0</v>
      </c>
    </row>
    <row r="2" spans="1:10" x14ac:dyDescent="0.2">
      <c r="A2" s="4" t="s">
        <v>78</v>
      </c>
    </row>
    <row r="3" spans="1:10" x14ac:dyDescent="0.2">
      <c r="A3" s="4" t="s">
        <v>65</v>
      </c>
    </row>
    <row r="5" spans="1:10" ht="51" x14ac:dyDescent="0.2">
      <c r="D5" s="6"/>
      <c r="E5" s="7" t="s">
        <v>56</v>
      </c>
      <c r="F5" s="7" t="s">
        <v>77</v>
      </c>
      <c r="G5" s="7" t="s">
        <v>57</v>
      </c>
      <c r="H5" s="7" t="s">
        <v>64</v>
      </c>
      <c r="I5" s="8"/>
      <c r="J5" s="7" t="s">
        <v>9</v>
      </c>
    </row>
    <row r="6" spans="1:10" x14ac:dyDescent="0.2">
      <c r="A6" s="4" t="s">
        <v>6</v>
      </c>
    </row>
    <row r="7" spans="1:10" x14ac:dyDescent="0.2">
      <c r="B7" s="2" t="s">
        <v>17</v>
      </c>
      <c r="E7" s="2">
        <f>'E&amp;G Detail'!G39</f>
        <v>37965000</v>
      </c>
      <c r="F7" s="2" t="e">
        <f>#REF!+#REF!</f>
        <v>#REF!</v>
      </c>
      <c r="G7" s="2" t="e">
        <f>#REF!</f>
        <v>#REF!</v>
      </c>
      <c r="H7" s="2" t="e">
        <f>#REF!</f>
        <v>#REF!</v>
      </c>
      <c r="J7" s="2" t="e">
        <f t="shared" ref="J7:J12" si="0">SUM(E7:H7)</f>
        <v>#REF!</v>
      </c>
    </row>
    <row r="8" spans="1:10" x14ac:dyDescent="0.2">
      <c r="B8" s="2" t="s">
        <v>24</v>
      </c>
      <c r="E8" s="2">
        <f>'E&amp;G Detail'!G45</f>
        <v>28981566</v>
      </c>
      <c r="F8" s="2">
        <v>0</v>
      </c>
      <c r="G8" s="2">
        <v>0</v>
      </c>
      <c r="H8" s="2">
        <v>0</v>
      </c>
      <c r="J8" s="2">
        <f t="shared" si="0"/>
        <v>28981566</v>
      </c>
    </row>
    <row r="9" spans="1:10" x14ac:dyDescent="0.2">
      <c r="B9" s="2" t="s">
        <v>25</v>
      </c>
      <c r="E9" s="2">
        <f>'E&amp;G Detail'!G48</f>
        <v>500000</v>
      </c>
      <c r="F9" s="2" t="e">
        <f>#REF!+#REF!</f>
        <v>#REF!</v>
      </c>
      <c r="G9" s="2" t="e">
        <f>#REF!</f>
        <v>#REF!</v>
      </c>
      <c r="H9" s="2" t="e">
        <f>#REF!</f>
        <v>#REF!</v>
      </c>
      <c r="J9" s="2" t="e">
        <f t="shared" si="0"/>
        <v>#REF!</v>
      </c>
    </row>
    <row r="10" spans="1:10" x14ac:dyDescent="0.2">
      <c r="B10" s="2" t="s">
        <v>4</v>
      </c>
      <c r="E10" s="2">
        <f>'E&amp;G Detail'!G49</f>
        <v>2000000</v>
      </c>
      <c r="F10" s="2" t="e">
        <f>#REF!+#REF!</f>
        <v>#REF!</v>
      </c>
      <c r="G10" s="2" t="e">
        <f>#REF!</f>
        <v>#REF!</v>
      </c>
      <c r="H10" s="2" t="e">
        <f>#REF!</f>
        <v>#REF!</v>
      </c>
      <c r="J10" s="2" t="e">
        <f t="shared" si="0"/>
        <v>#REF!</v>
      </c>
    </row>
    <row r="11" spans="1:10" x14ac:dyDescent="0.2">
      <c r="B11" s="2" t="s">
        <v>20</v>
      </c>
      <c r="E11" s="2">
        <f>'E&amp;G Detail'!G50</f>
        <v>500000</v>
      </c>
      <c r="F11" s="2" t="e">
        <f>#REF!+#REF!</f>
        <v>#REF!</v>
      </c>
      <c r="G11" s="2" t="e">
        <f>#REF!</f>
        <v>#REF!</v>
      </c>
      <c r="H11" s="2" t="e">
        <f>#REF!</f>
        <v>#REF!</v>
      </c>
      <c r="J11" s="2" t="e">
        <f t="shared" si="0"/>
        <v>#REF!</v>
      </c>
    </row>
    <row r="12" spans="1:10" x14ac:dyDescent="0.2">
      <c r="B12" s="2" t="s">
        <v>23</v>
      </c>
      <c r="E12" s="3">
        <f>'E&amp;G Detail'!G51</f>
        <v>100000</v>
      </c>
      <c r="F12" s="3" t="e">
        <f>#REF!+#REF!+#REF!</f>
        <v>#REF!</v>
      </c>
      <c r="G12" s="3" t="e">
        <f>#REF!+#REF!</f>
        <v>#REF!</v>
      </c>
      <c r="H12" s="3" t="e">
        <f>#REF!+#REF!</f>
        <v>#REF!</v>
      </c>
      <c r="J12" s="3" t="e">
        <f t="shared" si="0"/>
        <v>#REF!</v>
      </c>
    </row>
    <row r="13" spans="1:10" s="4" customFormat="1" x14ac:dyDescent="0.2">
      <c r="B13" s="4" t="s">
        <v>18</v>
      </c>
      <c r="E13" s="4">
        <f>SUM(E7:E12)</f>
        <v>70046566</v>
      </c>
      <c r="F13" s="4" t="e">
        <f>SUM(F7:F12)</f>
        <v>#REF!</v>
      </c>
      <c r="G13" s="4" t="e">
        <f>SUM(G7:G12)</f>
        <v>#REF!</v>
      </c>
      <c r="H13" s="4" t="e">
        <f>SUM(H7:H12)</f>
        <v>#REF!</v>
      </c>
      <c r="I13" s="9"/>
      <c r="J13" s="4" t="e">
        <f>SUM(J7:J12)</f>
        <v>#REF!</v>
      </c>
    </row>
    <row r="15" spans="1:10" x14ac:dyDescent="0.2">
      <c r="A15" s="4" t="s">
        <v>19</v>
      </c>
    </row>
    <row r="16" spans="1:10" x14ac:dyDescent="0.2">
      <c r="B16" s="2" t="s">
        <v>15</v>
      </c>
      <c r="E16" s="2" t="e">
        <f>'E&amp;G Detail'!G64</f>
        <v>#REF!</v>
      </c>
      <c r="F16" s="2" t="e">
        <f>#REF!+#REF!</f>
        <v>#REF!</v>
      </c>
      <c r="G16" s="2">
        <v>2255385</v>
      </c>
      <c r="H16" s="2" t="e">
        <f>#REF!</f>
        <v>#REF!</v>
      </c>
      <c r="J16" s="2" t="e">
        <f>SUM(E16:H16)</f>
        <v>#REF!</v>
      </c>
    </row>
    <row r="17" spans="1:11" x14ac:dyDescent="0.2">
      <c r="B17" s="2" t="s">
        <v>63</v>
      </c>
      <c r="E17" s="2" t="e">
        <f>'E&amp;G Detail'!G69</f>
        <v>#REF!</v>
      </c>
      <c r="F17" s="2" t="e">
        <f>SUM(#REF!,#REF!,#REF!,#REF!)</f>
        <v>#REF!</v>
      </c>
      <c r="G17" s="2">
        <v>2649899</v>
      </c>
      <c r="H17" s="2" t="e">
        <f>SUM(#REF!)</f>
        <v>#REF!</v>
      </c>
      <c r="J17" s="2" t="e">
        <f>SUM(E17:H17)</f>
        <v>#REF!</v>
      </c>
    </row>
    <row r="18" spans="1:11" x14ac:dyDescent="0.2">
      <c r="B18" s="2" t="s">
        <v>16</v>
      </c>
      <c r="E18" s="3" t="e">
        <f>'E&amp;G Detail'!G71</f>
        <v>#REF!</v>
      </c>
      <c r="F18" s="3" t="e">
        <f>#REF!+#REF!</f>
        <v>#REF!</v>
      </c>
      <c r="G18" s="3">
        <v>0</v>
      </c>
      <c r="H18" s="3">
        <v>0</v>
      </c>
      <c r="J18" s="3" t="e">
        <f>SUM(E18:H18)</f>
        <v>#REF!</v>
      </c>
    </row>
    <row r="19" spans="1:11" s="4" customFormat="1" x14ac:dyDescent="0.2">
      <c r="B19" s="4" t="s">
        <v>21</v>
      </c>
      <c r="E19" s="4" t="e">
        <f>SUM(E16:E18)</f>
        <v>#REF!</v>
      </c>
      <c r="F19" s="4" t="e">
        <f>SUM(F16:F18)</f>
        <v>#REF!</v>
      </c>
      <c r="G19" s="4">
        <f>SUM(G16:G18)</f>
        <v>4905284</v>
      </c>
      <c r="H19" s="4" t="e">
        <f>SUM(H16:H18)</f>
        <v>#REF!</v>
      </c>
      <c r="I19" s="9"/>
      <c r="J19" s="4" t="e">
        <f>SUM(J16:J18)</f>
        <v>#REF!</v>
      </c>
    </row>
    <row r="21" spans="1:11" x14ac:dyDescent="0.2">
      <c r="A21" s="4" t="s">
        <v>22</v>
      </c>
      <c r="E21" s="10" t="e">
        <f>'E&amp;G Detail'!G84</f>
        <v>#REF!</v>
      </c>
      <c r="F21" s="10" t="e">
        <f>#REF!+#REF!+#REF!+#REF!</f>
        <v>#REF!</v>
      </c>
      <c r="G21" s="10" t="e">
        <f>#REF!+#REF!</f>
        <v>#REF!</v>
      </c>
      <c r="H21" s="10" t="e">
        <f>#REF!+#REF!</f>
        <v>#REF!</v>
      </c>
      <c r="I21" s="9"/>
      <c r="J21" s="10" t="e">
        <f>SUM(E21:H21)</f>
        <v>#REF!</v>
      </c>
    </row>
    <row r="23" spans="1:11" s="4" customFormat="1" x14ac:dyDescent="0.2">
      <c r="A23" s="4" t="s">
        <v>66</v>
      </c>
      <c r="E23" s="4" t="e">
        <f>E13-E19-E21</f>
        <v>#REF!</v>
      </c>
      <c r="F23" s="4" t="e">
        <f>F13-F19-F21</f>
        <v>#REF!</v>
      </c>
      <c r="G23" s="4" t="e">
        <f>G13-G19-G21</f>
        <v>#REF!</v>
      </c>
      <c r="H23" s="4" t="e">
        <f>H13-H19-H21</f>
        <v>#REF!</v>
      </c>
      <c r="I23" s="9"/>
      <c r="J23" s="4" t="e">
        <f>J13-J19-J21</f>
        <v>#REF!</v>
      </c>
    </row>
    <row r="24" spans="1:11" x14ac:dyDescent="0.2">
      <c r="F24" s="12"/>
      <c r="K24" s="12"/>
    </row>
    <row r="25" spans="1:11" ht="45.75" customHeight="1" x14ac:dyDescent="0.2">
      <c r="B25" s="40" t="s">
        <v>98</v>
      </c>
      <c r="C25" s="40"/>
      <c r="D25" s="40"/>
      <c r="E25" s="40"/>
      <c r="F25" s="40"/>
      <c r="G25" s="40"/>
      <c r="H25" s="40"/>
      <c r="I25" s="40"/>
      <c r="J25" s="40"/>
    </row>
    <row r="26" spans="1:11" x14ac:dyDescent="0.2">
      <c r="J26" s="12"/>
    </row>
    <row r="29" spans="1:11" x14ac:dyDescent="0.2">
      <c r="F29" s="11"/>
    </row>
  </sheetData>
  <mergeCells count="1">
    <mergeCell ref="B25:J25"/>
  </mergeCells>
  <pageMargins left="0.7" right="0.7" top="0.75" bottom="0.75" header="0.3" footer="0.3"/>
  <pageSetup scale="9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85BF-1182-4BFE-8A9B-2DFCB1349E7E}">
  <sheetPr>
    <pageSetUpPr fitToPage="1"/>
  </sheetPr>
  <dimension ref="A1:J97"/>
  <sheetViews>
    <sheetView zoomScaleNormal="100" workbookViewId="0">
      <pane xSplit="4" ySplit="4" topLeftCell="E67" activePane="bottomRight" state="frozen"/>
      <selection activeCell="G64" sqref="G64"/>
      <selection pane="topRight" activeCell="G64" sqref="G64"/>
      <selection pane="bottomLeft" activeCell="G64" sqref="G64"/>
      <selection pane="bottomRight" activeCell="G64" sqref="G64"/>
    </sheetView>
  </sheetViews>
  <sheetFormatPr baseColWidth="10" defaultColWidth="8.83203125" defaultRowHeight="16" x14ac:dyDescent="0.2"/>
  <cols>
    <col min="1" max="2" width="2.6640625" style="22" customWidth="1"/>
    <col min="3" max="3" width="41.5" style="22" customWidth="1"/>
    <col min="4" max="4" width="2.6640625" style="14" customWidth="1"/>
    <col min="5" max="5" width="14.83203125" style="22" bestFit="1" customWidth="1"/>
    <col min="6" max="6" width="22.6640625" style="22" bestFit="1" customWidth="1"/>
    <col min="7" max="7" width="17.33203125" style="22" bestFit="1" customWidth="1"/>
    <col min="8" max="8" width="19.33203125" style="22" bestFit="1" customWidth="1"/>
    <col min="9" max="9" width="2.6640625" style="14" customWidth="1"/>
    <col min="10" max="10" width="60.83203125" style="17" customWidth="1"/>
  </cols>
  <sheetData>
    <row r="1" spans="1:10" x14ac:dyDescent="0.2">
      <c r="A1" s="26" t="s">
        <v>0</v>
      </c>
    </row>
    <row r="2" spans="1:10" x14ac:dyDescent="0.2">
      <c r="A2" s="26" t="s">
        <v>78</v>
      </c>
    </row>
    <row r="3" spans="1:10" x14ac:dyDescent="0.2">
      <c r="A3" s="26" t="s">
        <v>67</v>
      </c>
      <c r="B3" s="21"/>
      <c r="C3" s="21"/>
      <c r="D3" s="2"/>
      <c r="E3" s="21"/>
      <c r="F3" s="21"/>
    </row>
    <row r="4" spans="1:10" ht="63" customHeight="1" x14ac:dyDescent="0.2">
      <c r="A4" s="26"/>
      <c r="B4" s="21"/>
      <c r="C4" s="21"/>
      <c r="D4" s="2"/>
      <c r="E4" s="16" t="s">
        <v>68</v>
      </c>
      <c r="F4" s="7" t="s">
        <v>75</v>
      </c>
      <c r="G4" s="7" t="s">
        <v>78</v>
      </c>
      <c r="H4" s="7" t="s">
        <v>97</v>
      </c>
      <c r="J4" s="16" t="s">
        <v>10</v>
      </c>
    </row>
    <row r="5" spans="1:10" s="15" customFormat="1" ht="15.75" customHeight="1" x14ac:dyDescent="0.2">
      <c r="A5" s="26" t="s">
        <v>6</v>
      </c>
      <c r="B5" s="21"/>
      <c r="C5" s="21"/>
      <c r="D5" s="2"/>
      <c r="E5" s="23"/>
      <c r="F5" s="23"/>
      <c r="G5" s="24"/>
      <c r="H5" s="24"/>
      <c r="J5" s="16"/>
    </row>
    <row r="6" spans="1:10" s="14" customFormat="1" ht="15.75" customHeight="1" x14ac:dyDescent="0.2">
      <c r="A6" s="26" t="s">
        <v>73</v>
      </c>
      <c r="B6" s="21"/>
      <c r="C6" s="21"/>
      <c r="D6" s="2"/>
      <c r="E6" s="23"/>
      <c r="F6" s="23"/>
      <c r="G6" s="24"/>
      <c r="H6" s="24"/>
      <c r="J6" s="16"/>
    </row>
    <row r="7" spans="1:10" ht="15.75" customHeight="1" x14ac:dyDescent="0.2">
      <c r="A7" s="26"/>
      <c r="B7" s="26" t="s">
        <v>26</v>
      </c>
      <c r="C7" s="21"/>
      <c r="D7" s="2"/>
      <c r="E7" s="21"/>
      <c r="F7" s="21"/>
    </row>
    <row r="8" spans="1:10" ht="15.75" customHeight="1" x14ac:dyDescent="0.2">
      <c r="A8" s="26"/>
      <c r="B8" s="26"/>
      <c r="C8" s="21" t="s">
        <v>27</v>
      </c>
      <c r="D8" s="2"/>
      <c r="E8" s="21">
        <v>17751958.420000002</v>
      </c>
      <c r="F8" s="21">
        <f>22237000</f>
        <v>22237000</v>
      </c>
      <c r="G8" s="21">
        <v>21650000</v>
      </c>
      <c r="H8" s="21">
        <f>G8-F8</f>
        <v>-587000</v>
      </c>
    </row>
    <row r="9" spans="1:10" ht="15.75" customHeight="1" x14ac:dyDescent="0.2">
      <c r="A9" s="26"/>
      <c r="B9" s="26"/>
      <c r="C9" s="21" t="s">
        <v>28</v>
      </c>
      <c r="D9" s="2"/>
      <c r="E9" s="21">
        <v>6449684.5499999998</v>
      </c>
      <c r="F9" s="21">
        <v>7467000</v>
      </c>
      <c r="G9" s="21">
        <v>7630000</v>
      </c>
      <c r="H9" s="21">
        <f>G9-F9</f>
        <v>163000</v>
      </c>
    </row>
    <row r="10" spans="1:10" s="14" customFormat="1" ht="15.75" customHeight="1" x14ac:dyDescent="0.2">
      <c r="A10" s="26"/>
      <c r="B10" s="26"/>
      <c r="C10" s="21" t="s">
        <v>29</v>
      </c>
      <c r="D10" s="2"/>
      <c r="E10" s="21">
        <v>2111435.21</v>
      </c>
      <c r="F10" s="21">
        <v>2524000</v>
      </c>
      <c r="G10" s="21">
        <v>1740000</v>
      </c>
      <c r="H10" s="21">
        <f>G10-F10</f>
        <v>-784000</v>
      </c>
      <c r="J10" s="17"/>
    </row>
    <row r="11" spans="1:10" ht="15.75" customHeight="1" x14ac:dyDescent="0.2">
      <c r="A11" s="26"/>
      <c r="B11" s="26"/>
      <c r="C11" s="21" t="s">
        <v>33</v>
      </c>
      <c r="D11" s="2"/>
      <c r="E11" s="25">
        <v>6338772.3700000001</v>
      </c>
      <c r="F11" s="25">
        <v>0</v>
      </c>
      <c r="G11" s="25">
        <v>0</v>
      </c>
      <c r="H11" s="25">
        <f>G11-F11</f>
        <v>0</v>
      </c>
    </row>
    <row r="12" spans="1:10" ht="15.75" customHeight="1" x14ac:dyDescent="0.2">
      <c r="A12" s="26"/>
      <c r="B12" s="26"/>
      <c r="C12" s="26" t="s">
        <v>35</v>
      </c>
      <c r="D12" s="4"/>
      <c r="E12" s="21">
        <f>SUM(E8:E11)</f>
        <v>32651850.550000004</v>
      </c>
      <c r="F12" s="21">
        <f>SUM(F8:F11)</f>
        <v>32228000</v>
      </c>
      <c r="G12" s="21">
        <f>SUM(G8:G11)</f>
        <v>31020000</v>
      </c>
      <c r="H12" s="21">
        <f>G12-F12</f>
        <v>-1208000</v>
      </c>
      <c r="J12" s="20" t="s">
        <v>85</v>
      </c>
    </row>
    <row r="13" spans="1:10" ht="15.75" customHeight="1" x14ac:dyDescent="0.2">
      <c r="A13" s="26"/>
      <c r="B13" s="26"/>
      <c r="C13" s="21"/>
      <c r="D13" s="2"/>
      <c r="E13" s="21"/>
      <c r="F13" s="21"/>
      <c r="G13" s="21"/>
      <c r="H13" s="21"/>
    </row>
    <row r="14" spans="1:10" ht="15.75" customHeight="1" x14ac:dyDescent="0.2">
      <c r="A14" s="26"/>
      <c r="B14" s="26" t="s">
        <v>30</v>
      </c>
      <c r="C14" s="21"/>
      <c r="D14" s="2"/>
      <c r="E14" s="21"/>
      <c r="F14" s="21"/>
      <c r="G14" s="21"/>
      <c r="H14" s="21"/>
    </row>
    <row r="15" spans="1:10" ht="15.75" customHeight="1" x14ac:dyDescent="0.2">
      <c r="A15" s="26"/>
      <c r="B15" s="26"/>
      <c r="C15" s="21" t="s">
        <v>31</v>
      </c>
      <c r="D15" s="2"/>
      <c r="E15" s="21">
        <v>653688.99</v>
      </c>
      <c r="F15" s="21">
        <v>579800</v>
      </c>
      <c r="G15" s="21">
        <v>370000</v>
      </c>
      <c r="H15" s="21">
        <f>G15-F15</f>
        <v>-209800</v>
      </c>
    </row>
    <row r="16" spans="1:10" ht="15.75" customHeight="1" x14ac:dyDescent="0.2">
      <c r="A16" s="26"/>
      <c r="B16" s="26"/>
      <c r="C16" s="21" t="s">
        <v>29</v>
      </c>
      <c r="D16" s="2"/>
      <c r="E16" s="21">
        <v>311817.34999999998</v>
      </c>
      <c r="F16" s="21">
        <v>443400</v>
      </c>
      <c r="G16" s="21">
        <v>250000</v>
      </c>
      <c r="H16" s="21">
        <f>G16-F16</f>
        <v>-193400</v>
      </c>
    </row>
    <row r="17" spans="1:10" ht="15.75" customHeight="1" x14ac:dyDescent="0.2">
      <c r="A17" s="26"/>
      <c r="B17" s="26"/>
      <c r="C17" s="21" t="s">
        <v>33</v>
      </c>
      <c r="D17" s="2"/>
      <c r="E17" s="25">
        <v>3352435.87</v>
      </c>
      <c r="F17" s="25">
        <v>3253800</v>
      </c>
      <c r="G17" s="25">
        <v>3650000</v>
      </c>
      <c r="H17" s="25">
        <f>G17-F17</f>
        <v>396200</v>
      </c>
    </row>
    <row r="18" spans="1:10" ht="15.75" customHeight="1" x14ac:dyDescent="0.2">
      <c r="A18" s="26"/>
      <c r="B18" s="26"/>
      <c r="C18" s="26" t="s">
        <v>34</v>
      </c>
      <c r="D18" s="4"/>
      <c r="E18" s="21">
        <f>SUM(E15:E17)</f>
        <v>4317942.21</v>
      </c>
      <c r="F18" s="21">
        <f>SUM(F15:F17)</f>
        <v>4277000</v>
      </c>
      <c r="G18" s="21">
        <f>SUM(G15:G17)</f>
        <v>4270000</v>
      </c>
      <c r="H18" s="21">
        <f>G18-F18</f>
        <v>-7000</v>
      </c>
      <c r="J18" s="17" t="s">
        <v>84</v>
      </c>
    </row>
    <row r="19" spans="1:10" ht="15.75" customHeight="1" x14ac:dyDescent="0.2">
      <c r="A19" s="26"/>
      <c r="B19" s="26"/>
      <c r="C19" s="21"/>
      <c r="D19" s="2"/>
      <c r="E19" s="21"/>
      <c r="F19" s="21"/>
      <c r="G19" s="21"/>
      <c r="H19" s="21"/>
    </row>
    <row r="20" spans="1:10" ht="15.75" customHeight="1" x14ac:dyDescent="0.2">
      <c r="A20" s="26"/>
      <c r="B20" s="26" t="s">
        <v>8</v>
      </c>
      <c r="C20" s="21"/>
      <c r="D20" s="2"/>
      <c r="E20" s="21"/>
      <c r="F20" s="21"/>
      <c r="G20" s="21"/>
      <c r="H20" s="21"/>
    </row>
    <row r="21" spans="1:10" ht="15.75" customHeight="1" x14ac:dyDescent="0.2">
      <c r="A21" s="26"/>
      <c r="B21" s="21"/>
      <c r="C21" s="21" t="s">
        <v>44</v>
      </c>
      <c r="D21" s="2"/>
      <c r="E21" s="21">
        <v>1750564.24</v>
      </c>
      <c r="F21" s="21">
        <v>1870000</v>
      </c>
      <c r="G21" s="21">
        <v>1870000</v>
      </c>
      <c r="H21" s="21">
        <f>G21-F21</f>
        <v>0</v>
      </c>
    </row>
    <row r="22" spans="1:10" ht="15.75" customHeight="1" x14ac:dyDescent="0.2">
      <c r="A22" s="26"/>
      <c r="B22" s="21"/>
      <c r="C22" s="21" t="s">
        <v>45</v>
      </c>
      <c r="D22" s="2"/>
      <c r="E22" s="25">
        <v>1021925</v>
      </c>
      <c r="F22" s="25">
        <v>680000</v>
      </c>
      <c r="G22" s="25">
        <v>680000</v>
      </c>
      <c r="H22" s="25">
        <f>G22-F22</f>
        <v>0</v>
      </c>
    </row>
    <row r="23" spans="1:10" ht="15.75" customHeight="1" x14ac:dyDescent="0.2">
      <c r="A23" s="26"/>
      <c r="B23" s="21"/>
      <c r="C23" s="26" t="s">
        <v>46</v>
      </c>
      <c r="D23" s="4"/>
      <c r="E23" s="21">
        <f>SUM(E21:E22)</f>
        <v>2772489.24</v>
      </c>
      <c r="F23" s="21">
        <f>SUM(F21:F22)</f>
        <v>2550000</v>
      </c>
      <c r="G23" s="21">
        <f>SUM(G21:G22)</f>
        <v>2550000</v>
      </c>
      <c r="H23" s="21">
        <f>G23-F23</f>
        <v>0</v>
      </c>
    </row>
    <row r="24" spans="1:10" ht="15.75" customHeight="1" x14ac:dyDescent="0.2">
      <c r="A24" s="26"/>
      <c r="B24" s="21"/>
      <c r="C24" s="21"/>
      <c r="D24" s="2"/>
      <c r="E24" s="21"/>
      <c r="F24" s="21"/>
      <c r="G24" s="21"/>
      <c r="H24" s="21"/>
    </row>
    <row r="25" spans="1:10" ht="15.75" customHeight="1" x14ac:dyDescent="0.2">
      <c r="A25" s="26"/>
      <c r="B25" s="26" t="s">
        <v>37</v>
      </c>
      <c r="C25" s="21"/>
      <c r="D25" s="4"/>
      <c r="E25" s="25">
        <v>387855.95</v>
      </c>
      <c r="F25" s="25">
        <v>365000</v>
      </c>
      <c r="G25" s="25">
        <v>350000</v>
      </c>
      <c r="H25" s="25">
        <f>G25-F25</f>
        <v>-15000</v>
      </c>
    </row>
    <row r="26" spans="1:10" ht="15.75" customHeight="1" x14ac:dyDescent="0.2">
      <c r="A26" s="26"/>
      <c r="B26" s="21"/>
      <c r="C26" s="21"/>
      <c r="D26" s="2"/>
      <c r="E26" s="21"/>
      <c r="F26" s="21"/>
      <c r="G26" s="21"/>
      <c r="H26" s="21"/>
    </row>
    <row r="27" spans="1:10" ht="15.75" customHeight="1" x14ac:dyDescent="0.2">
      <c r="A27" s="26"/>
      <c r="B27" s="26" t="s">
        <v>36</v>
      </c>
      <c r="C27" s="26"/>
      <c r="D27" s="4"/>
      <c r="E27" s="21">
        <f>SUM(E12,E18,E23,E25)</f>
        <v>40130137.95000001</v>
      </c>
      <c r="F27" s="21">
        <f>SUM(F12,F18,F23,F25)</f>
        <v>39420000</v>
      </c>
      <c r="G27" s="21">
        <f>SUM(G12,G18,G23,G25)</f>
        <v>38190000</v>
      </c>
      <c r="H27" s="21">
        <f>G27-F27</f>
        <v>-1230000</v>
      </c>
    </row>
    <row r="28" spans="1:10" ht="15.75" customHeight="1" x14ac:dyDescent="0.2">
      <c r="A28" s="26"/>
      <c r="B28" s="21"/>
      <c r="C28" s="21"/>
      <c r="D28" s="2"/>
      <c r="E28" s="21"/>
      <c r="F28" s="21"/>
      <c r="G28" s="21"/>
      <c r="H28" s="21"/>
    </row>
    <row r="29" spans="1:10" ht="15.75" customHeight="1" x14ac:dyDescent="0.2">
      <c r="A29" s="26"/>
      <c r="B29" s="26" t="s">
        <v>5</v>
      </c>
      <c r="C29" s="21"/>
      <c r="D29" s="2"/>
      <c r="E29" s="21"/>
      <c r="F29" s="21"/>
      <c r="G29" s="21"/>
      <c r="H29" s="21"/>
    </row>
    <row r="30" spans="1:10" ht="15.75" customHeight="1" x14ac:dyDescent="0.2">
      <c r="A30" s="26"/>
      <c r="B30" s="21"/>
      <c r="C30" s="21" t="s">
        <v>32</v>
      </c>
      <c r="D30" s="2"/>
      <c r="E30" s="21">
        <v>637489.68000000005</v>
      </c>
      <c r="F30" s="21">
        <v>650000</v>
      </c>
      <c r="G30" s="21">
        <v>575000</v>
      </c>
      <c r="H30" s="21">
        <f t="shared" ref="H30:H35" si="0">G30-F30</f>
        <v>-75000</v>
      </c>
    </row>
    <row r="31" spans="1:10" ht="15.75" customHeight="1" x14ac:dyDescent="0.2">
      <c r="A31" s="26"/>
      <c r="B31" s="21"/>
      <c r="C31" s="21" t="s">
        <v>39</v>
      </c>
      <c r="D31" s="2"/>
      <c r="E31" s="21">
        <v>427792.87</v>
      </c>
      <c r="F31" s="21">
        <v>500000</v>
      </c>
      <c r="G31" s="21">
        <v>300000</v>
      </c>
      <c r="H31" s="21">
        <f t="shared" si="0"/>
        <v>-200000</v>
      </c>
      <c r="J31" s="17" t="s">
        <v>86</v>
      </c>
    </row>
    <row r="32" spans="1:10" ht="15.75" customHeight="1" x14ac:dyDescent="0.2">
      <c r="A32" s="26"/>
      <c r="B32" s="21"/>
      <c r="C32" s="21" t="s">
        <v>40</v>
      </c>
      <c r="D32" s="2"/>
      <c r="E32" s="21">
        <v>151571</v>
      </c>
      <c r="F32" s="21">
        <v>205000</v>
      </c>
      <c r="G32" s="21">
        <v>100000</v>
      </c>
      <c r="H32" s="21">
        <f t="shared" si="0"/>
        <v>-105000</v>
      </c>
    </row>
    <row r="33" spans="1:10" ht="15.75" customHeight="1" x14ac:dyDescent="0.2">
      <c r="A33" s="26"/>
      <c r="B33" s="21"/>
      <c r="C33" s="21" t="s">
        <v>33</v>
      </c>
      <c r="D33" s="2"/>
      <c r="E33" s="21">
        <v>0</v>
      </c>
      <c r="F33" s="21">
        <f>1875000</f>
        <v>1875000</v>
      </c>
      <c r="G33" s="27">
        <v>5500000</v>
      </c>
      <c r="H33" s="21">
        <f t="shared" si="0"/>
        <v>3625000</v>
      </c>
      <c r="J33" s="20" t="s">
        <v>92</v>
      </c>
    </row>
    <row r="34" spans="1:10" ht="15.75" customHeight="1" x14ac:dyDescent="0.2">
      <c r="A34" s="26"/>
      <c r="B34" s="21"/>
      <c r="C34" s="21" t="s">
        <v>1</v>
      </c>
      <c r="D34" s="2"/>
      <c r="E34" s="25">
        <v>171585.11</v>
      </c>
      <c r="F34" s="25">
        <v>350000</v>
      </c>
      <c r="G34" s="25">
        <v>350000</v>
      </c>
      <c r="H34" s="25">
        <f t="shared" si="0"/>
        <v>0</v>
      </c>
    </row>
    <row r="35" spans="1:10" ht="15.75" customHeight="1" x14ac:dyDescent="0.2">
      <c r="A35" s="26"/>
      <c r="B35" s="21"/>
      <c r="C35" s="26" t="s">
        <v>38</v>
      </c>
      <c r="D35" s="2"/>
      <c r="E35" s="21">
        <f>SUM(E30:E34)</f>
        <v>1388438.6600000001</v>
      </c>
      <c r="F35" s="21">
        <f>SUM(F30:F34)</f>
        <v>3580000</v>
      </c>
      <c r="G35" s="21">
        <f>SUM(G30:G34)</f>
        <v>6825000</v>
      </c>
      <c r="H35" s="21">
        <f t="shared" si="0"/>
        <v>3245000</v>
      </c>
    </row>
    <row r="36" spans="1:10" ht="15.75" customHeight="1" x14ac:dyDescent="0.2">
      <c r="A36" s="26"/>
      <c r="B36" s="21"/>
      <c r="C36" s="21"/>
      <c r="D36" s="2"/>
      <c r="E36" s="21"/>
      <c r="F36" s="21"/>
      <c r="G36" s="21"/>
      <c r="H36" s="21"/>
    </row>
    <row r="37" spans="1:10" ht="15.75" customHeight="1" x14ac:dyDescent="0.2">
      <c r="A37" s="26"/>
      <c r="B37" s="26" t="s">
        <v>11</v>
      </c>
      <c r="C37" s="21"/>
      <c r="D37" s="2"/>
      <c r="E37" s="28">
        <v>-6583183</v>
      </c>
      <c r="F37" s="28">
        <f>-6500000-550000</f>
        <v>-7050000</v>
      </c>
      <c r="G37" s="28">
        <v>-7050000</v>
      </c>
      <c r="H37" s="28">
        <f>G37-F37</f>
        <v>0</v>
      </c>
    </row>
    <row r="38" spans="1:10" ht="15.75" customHeight="1" x14ac:dyDescent="0.2">
      <c r="A38" s="26"/>
      <c r="B38" s="21"/>
      <c r="C38" s="21"/>
      <c r="D38" s="2"/>
      <c r="E38" s="21"/>
      <c r="F38" s="21"/>
      <c r="G38" s="21"/>
      <c r="H38" s="21"/>
    </row>
    <row r="39" spans="1:10" ht="15.75" customHeight="1" x14ac:dyDescent="0.2">
      <c r="A39" s="26"/>
      <c r="B39" s="26" t="s">
        <v>74</v>
      </c>
      <c r="C39" s="21"/>
      <c r="D39" s="2"/>
      <c r="E39" s="21">
        <f>SUM(E27,E35,E37)</f>
        <v>34935393.610000014</v>
      </c>
      <c r="F39" s="21">
        <f>SUM(F27,F35,F37)</f>
        <v>35950000</v>
      </c>
      <c r="G39" s="21">
        <f>SUM(G27,G35,G37)</f>
        <v>37965000</v>
      </c>
      <c r="H39" s="21">
        <f>G39-F39</f>
        <v>2015000</v>
      </c>
    </row>
    <row r="40" spans="1:10" ht="15.75" customHeight="1" x14ac:dyDescent="0.2">
      <c r="A40" s="26"/>
      <c r="B40" s="21"/>
      <c r="C40" s="21"/>
      <c r="D40" s="2"/>
      <c r="E40" s="21"/>
      <c r="F40" s="21"/>
      <c r="G40" s="21"/>
      <c r="H40" s="21"/>
    </row>
    <row r="41" spans="1:10" ht="15.75" customHeight="1" x14ac:dyDescent="0.2">
      <c r="A41" s="26" t="s">
        <v>24</v>
      </c>
      <c r="B41" s="26"/>
      <c r="C41" s="21"/>
      <c r="D41" s="2"/>
      <c r="E41" s="21"/>
      <c r="F41" s="21"/>
      <c r="G41" s="21"/>
      <c r="H41" s="21"/>
    </row>
    <row r="42" spans="1:10" ht="15.75" customHeight="1" x14ac:dyDescent="0.2">
      <c r="A42" s="26"/>
      <c r="B42" s="21" t="s">
        <v>41</v>
      </c>
      <c r="C42" s="21"/>
      <c r="D42" s="2"/>
      <c r="E42" s="21">
        <v>26846062</v>
      </c>
      <c r="F42" s="21">
        <v>23890379</v>
      </c>
      <c r="G42" s="21">
        <v>28291650</v>
      </c>
      <c r="H42" s="21">
        <f>G42-F42</f>
        <v>4401271</v>
      </c>
      <c r="J42" s="17" t="s">
        <v>87</v>
      </c>
    </row>
    <row r="43" spans="1:10" ht="15.75" customHeight="1" x14ac:dyDescent="0.2">
      <c r="A43" s="26"/>
      <c r="B43" s="21" t="s">
        <v>43</v>
      </c>
      <c r="C43" s="21"/>
      <c r="D43" s="2"/>
      <c r="E43" s="21">
        <v>288045</v>
      </c>
      <c r="F43" s="21">
        <v>261160</v>
      </c>
      <c r="G43" s="21">
        <v>307728</v>
      </c>
      <c r="H43" s="21">
        <f>G43-F43</f>
        <v>46568</v>
      </c>
    </row>
    <row r="44" spans="1:10" ht="15.75" customHeight="1" x14ac:dyDescent="0.2">
      <c r="A44" s="26"/>
      <c r="B44" s="21" t="s">
        <v>42</v>
      </c>
      <c r="C44" s="21"/>
      <c r="D44" s="2"/>
      <c r="E44" s="25">
        <v>382188</v>
      </c>
      <c r="F44" s="25">
        <v>382188</v>
      </c>
      <c r="G44" s="25">
        <v>382188</v>
      </c>
      <c r="H44" s="25">
        <f>G44-F44</f>
        <v>0</v>
      </c>
    </row>
    <row r="45" spans="1:10" ht="15.75" customHeight="1" x14ac:dyDescent="0.2">
      <c r="A45" s="26"/>
      <c r="B45" s="26" t="s">
        <v>48</v>
      </c>
      <c r="C45" s="26"/>
      <c r="D45" s="2"/>
      <c r="E45" s="21">
        <f>SUM(E42:E44)</f>
        <v>27516295</v>
      </c>
      <c r="F45" s="21">
        <f>SUM(F42:F44)</f>
        <v>24533727</v>
      </c>
      <c r="G45" s="21">
        <f>SUM(G42:G44)</f>
        <v>28981566</v>
      </c>
      <c r="H45" s="21">
        <f>G45-F45</f>
        <v>4447839</v>
      </c>
    </row>
    <row r="46" spans="1:10" ht="15.75" customHeight="1" x14ac:dyDescent="0.2">
      <c r="A46" s="26"/>
      <c r="B46" s="26"/>
      <c r="C46" s="21"/>
      <c r="D46" s="2"/>
      <c r="E46" s="21"/>
      <c r="F46" s="21"/>
      <c r="G46" s="21"/>
      <c r="H46" s="21"/>
    </row>
    <row r="47" spans="1:10" ht="15.75" customHeight="1" x14ac:dyDescent="0.2">
      <c r="A47" s="26" t="s">
        <v>23</v>
      </c>
      <c r="B47" s="21"/>
      <c r="C47" s="21"/>
      <c r="D47" s="2"/>
      <c r="E47" s="21"/>
      <c r="F47" s="21"/>
      <c r="G47" s="21"/>
      <c r="H47" s="21"/>
    </row>
    <row r="48" spans="1:10" ht="15.75" customHeight="1" x14ac:dyDescent="0.2">
      <c r="A48" s="21"/>
      <c r="B48" s="21" t="s">
        <v>25</v>
      </c>
      <c r="C48" s="21"/>
      <c r="D48" s="2"/>
      <c r="E48" s="21">
        <v>745051.41</v>
      </c>
      <c r="F48" s="21">
        <v>750000</v>
      </c>
      <c r="G48" s="21">
        <v>500000</v>
      </c>
      <c r="H48" s="21">
        <f t="shared" ref="H48:H54" si="1">G48-F48</f>
        <v>-250000</v>
      </c>
    </row>
    <row r="49" spans="1:10" ht="15.75" customHeight="1" x14ac:dyDescent="0.2">
      <c r="A49" s="21"/>
      <c r="B49" s="21" t="s">
        <v>80</v>
      </c>
      <c r="C49" s="21"/>
      <c r="D49" s="2"/>
      <c r="E49" s="21">
        <v>2876411.53</v>
      </c>
      <c r="F49" s="21">
        <v>3000000</v>
      </c>
      <c r="G49" s="21">
        <v>2000000</v>
      </c>
      <c r="H49" s="21">
        <f t="shared" si="1"/>
        <v>-1000000</v>
      </c>
      <c r="J49" s="20" t="s">
        <v>93</v>
      </c>
    </row>
    <row r="50" spans="1:10" ht="15.75" customHeight="1" x14ac:dyDescent="0.2">
      <c r="A50" s="21"/>
      <c r="B50" s="21" t="s">
        <v>20</v>
      </c>
      <c r="C50" s="21"/>
      <c r="D50" s="2"/>
      <c r="E50" s="21">
        <v>420237.15</v>
      </c>
      <c r="F50" s="21">
        <v>500000</v>
      </c>
      <c r="G50" s="21">
        <v>500000</v>
      </c>
      <c r="H50" s="21">
        <f t="shared" si="1"/>
        <v>0</v>
      </c>
    </row>
    <row r="51" spans="1:10" ht="15.75" customHeight="1" x14ac:dyDescent="0.2">
      <c r="A51" s="21"/>
      <c r="B51" s="21" t="s">
        <v>23</v>
      </c>
      <c r="C51" s="21"/>
      <c r="D51" s="2"/>
      <c r="E51" s="25">
        <v>439241.27</v>
      </c>
      <c r="F51" s="25">
        <v>100000</v>
      </c>
      <c r="G51" s="25">
        <v>100000</v>
      </c>
      <c r="H51" s="25">
        <f t="shared" si="1"/>
        <v>0</v>
      </c>
    </row>
    <row r="52" spans="1:10" ht="15.75" customHeight="1" x14ac:dyDescent="0.2">
      <c r="A52" s="21"/>
      <c r="B52" s="26" t="s">
        <v>47</v>
      </c>
      <c r="C52" s="21"/>
      <c r="D52" s="2"/>
      <c r="E52" s="25">
        <f>SUM(E48:E51)</f>
        <v>4480941.3599999994</v>
      </c>
      <c r="F52" s="25">
        <f>SUM(F48:F51)</f>
        <v>4350000</v>
      </c>
      <c r="G52" s="25">
        <f>SUM(G48:G51)</f>
        <v>3100000</v>
      </c>
      <c r="H52" s="25">
        <f t="shared" si="1"/>
        <v>-1250000</v>
      </c>
    </row>
    <row r="53" spans="1:10" ht="15.75" customHeight="1" x14ac:dyDescent="0.2">
      <c r="A53" s="26"/>
      <c r="B53" s="21"/>
      <c r="C53" s="21"/>
      <c r="D53" s="2"/>
      <c r="E53" s="21"/>
      <c r="F53" s="21"/>
      <c r="G53" s="21"/>
      <c r="H53" s="21">
        <f t="shared" si="1"/>
        <v>0</v>
      </c>
    </row>
    <row r="54" spans="1:10" ht="15.75" customHeight="1" x14ac:dyDescent="0.2">
      <c r="A54" s="26" t="s">
        <v>18</v>
      </c>
      <c r="B54" s="21"/>
      <c r="C54" s="21"/>
      <c r="D54" s="2"/>
      <c r="E54" s="26">
        <f>SUM(E39,E45,E52)</f>
        <v>66932629.970000014</v>
      </c>
      <c r="F54" s="26">
        <f>SUM(F39,F45,F52)</f>
        <v>64833727</v>
      </c>
      <c r="G54" s="26">
        <f>SUM(G39,G45,G52)</f>
        <v>70046566</v>
      </c>
      <c r="H54" s="26">
        <f t="shared" si="1"/>
        <v>5212839</v>
      </c>
    </row>
    <row r="55" spans="1:10" ht="15.75" customHeight="1" x14ac:dyDescent="0.2">
      <c r="A55" s="26" t="s">
        <v>19</v>
      </c>
      <c r="B55" s="21"/>
      <c r="C55" s="21"/>
      <c r="D55" s="2"/>
      <c r="E55" s="21"/>
      <c r="F55" s="21"/>
      <c r="G55" s="21"/>
      <c r="H55" s="21"/>
    </row>
    <row r="56" spans="1:10" ht="15.75" customHeight="1" x14ac:dyDescent="0.2">
      <c r="A56" s="26" t="s">
        <v>15</v>
      </c>
      <c r="B56" s="21"/>
      <c r="C56" s="21"/>
      <c r="D56" s="2"/>
      <c r="E56" s="21"/>
      <c r="F56" s="21"/>
      <c r="G56" s="21"/>
      <c r="H56" s="21"/>
    </row>
    <row r="57" spans="1:10" ht="15.75" customHeight="1" x14ac:dyDescent="0.2">
      <c r="A57" s="26"/>
      <c r="B57" s="21" t="s">
        <v>59</v>
      </c>
      <c r="C57" s="21"/>
      <c r="D57" s="2"/>
      <c r="E57" s="21">
        <f>17952730.34+1800000</f>
        <v>19752730.34</v>
      </c>
      <c r="F57" s="21">
        <v>19674064.774333332</v>
      </c>
      <c r="G57" s="21" t="e">
        <f>#REF!+#REF!+#REF!</f>
        <v>#REF!</v>
      </c>
      <c r="H57" s="21" t="e">
        <f t="shared" ref="H57:H64" si="2">G57-F57</f>
        <v>#REF!</v>
      </c>
      <c r="J57" s="20" t="s">
        <v>96</v>
      </c>
    </row>
    <row r="58" spans="1:10" ht="15.75" customHeight="1" x14ac:dyDescent="0.2">
      <c r="A58" s="26"/>
      <c r="B58" s="21" t="s">
        <v>60</v>
      </c>
      <c r="C58" s="21"/>
      <c r="D58" s="2"/>
      <c r="E58" s="21">
        <v>10799701.16</v>
      </c>
      <c r="F58" s="21">
        <v>9499320.7004000004</v>
      </c>
      <c r="G58" s="21" t="e">
        <f>#REF!+#REF!-250000</f>
        <v>#REF!</v>
      </c>
      <c r="H58" s="21" t="e">
        <f t="shared" si="2"/>
        <v>#REF!</v>
      </c>
      <c r="J58" s="17" t="s">
        <v>94</v>
      </c>
    </row>
    <row r="59" spans="1:10" ht="15.75" customHeight="1" x14ac:dyDescent="0.2">
      <c r="A59" s="26"/>
      <c r="B59" s="21" t="s">
        <v>61</v>
      </c>
      <c r="C59" s="21"/>
      <c r="D59" s="2"/>
      <c r="E59" s="21">
        <v>7674499.54</v>
      </c>
      <c r="F59" s="21">
        <v>7320218.2591439486</v>
      </c>
      <c r="G59" s="21" t="e">
        <f>#REF!+#REF!-350000</f>
        <v>#REF!</v>
      </c>
      <c r="H59" s="21" t="e">
        <f t="shared" si="2"/>
        <v>#REF!</v>
      </c>
      <c r="J59" s="20" t="s">
        <v>95</v>
      </c>
    </row>
    <row r="60" spans="1:10" ht="15.75" customHeight="1" x14ac:dyDescent="0.2">
      <c r="A60" s="26"/>
      <c r="B60" s="21" t="s">
        <v>58</v>
      </c>
      <c r="C60" s="21"/>
      <c r="D60" s="2"/>
      <c r="E60" s="21">
        <v>1537294.76</v>
      </c>
      <c r="F60" s="21">
        <v>1694176.6218749997</v>
      </c>
      <c r="G60" s="21" t="e">
        <f>#REF!</f>
        <v>#REF!</v>
      </c>
      <c r="H60" s="21" t="e">
        <f t="shared" si="2"/>
        <v>#REF!</v>
      </c>
    </row>
    <row r="61" spans="1:10" s="19" customFormat="1" ht="15.75" customHeight="1" x14ac:dyDescent="0.2">
      <c r="A61" s="26"/>
      <c r="B61" s="21" t="s">
        <v>79</v>
      </c>
      <c r="C61" s="21"/>
      <c r="D61" s="2"/>
      <c r="E61" s="21">
        <v>0</v>
      </c>
      <c r="F61" s="21">
        <v>0</v>
      </c>
      <c r="G61" s="21">
        <v>600000</v>
      </c>
      <c r="H61" s="21">
        <f t="shared" si="2"/>
        <v>600000</v>
      </c>
      <c r="J61" s="17"/>
    </row>
    <row r="62" spans="1:10" ht="15.75" customHeight="1" x14ac:dyDescent="0.2">
      <c r="A62" s="26"/>
      <c r="B62" s="21" t="s">
        <v>54</v>
      </c>
      <c r="C62" s="21"/>
      <c r="D62" s="2"/>
      <c r="E62" s="21">
        <v>0</v>
      </c>
      <c r="F62" s="21">
        <v>200000</v>
      </c>
      <c r="G62" s="27">
        <v>100000</v>
      </c>
      <c r="H62" s="21">
        <f t="shared" si="2"/>
        <v>-100000</v>
      </c>
    </row>
    <row r="63" spans="1:10" ht="15.75" customHeight="1" x14ac:dyDescent="0.2">
      <c r="A63" s="26"/>
      <c r="B63" s="21" t="s">
        <v>49</v>
      </c>
      <c r="C63" s="21"/>
      <c r="D63" s="2"/>
      <c r="E63" s="25">
        <v>22648736.059999999</v>
      </c>
      <c r="F63" s="25">
        <v>21798275</v>
      </c>
      <c r="G63" s="25" t="e">
        <f>SUM(#REF!)</f>
        <v>#REF!</v>
      </c>
      <c r="H63" s="25" t="e">
        <f t="shared" si="2"/>
        <v>#REF!</v>
      </c>
    </row>
    <row r="64" spans="1:10" ht="15.75" customHeight="1" x14ac:dyDescent="0.2">
      <c r="A64" s="26"/>
      <c r="B64" s="26" t="s">
        <v>14</v>
      </c>
      <c r="C64" s="21"/>
      <c r="D64" s="2"/>
      <c r="E64" s="21">
        <f>SUM(E57:E63)</f>
        <v>62412961.859999999</v>
      </c>
      <c r="F64" s="21">
        <f>SUM(F57:F63)</f>
        <v>60186055.355752282</v>
      </c>
      <c r="G64" s="21" t="e">
        <f>SUM(G57:G63)</f>
        <v>#REF!</v>
      </c>
      <c r="H64" s="21" t="e">
        <f t="shared" si="2"/>
        <v>#REF!</v>
      </c>
    </row>
    <row r="65" spans="1:10" ht="15.75" customHeight="1" x14ac:dyDescent="0.2">
      <c r="A65" s="26"/>
      <c r="B65" s="21"/>
      <c r="C65" s="21"/>
      <c r="D65" s="2"/>
      <c r="E65" s="21"/>
      <c r="F65" s="21"/>
      <c r="G65" s="21"/>
      <c r="H65" s="21"/>
    </row>
    <row r="66" spans="1:10" ht="15.75" customHeight="1" x14ac:dyDescent="0.2">
      <c r="A66" s="26" t="s">
        <v>50</v>
      </c>
      <c r="B66" s="21"/>
      <c r="C66" s="21"/>
      <c r="D66" s="2"/>
      <c r="E66" s="21"/>
      <c r="F66" s="21"/>
      <c r="G66" s="21"/>
      <c r="H66" s="21"/>
    </row>
    <row r="67" spans="1:10" ht="15.75" customHeight="1" x14ac:dyDescent="0.2">
      <c r="A67" s="26"/>
      <c r="B67" s="21" t="s">
        <v>50</v>
      </c>
      <c r="C67" s="21"/>
      <c r="D67" s="2"/>
      <c r="E67" s="21">
        <v>12063571.9</v>
      </c>
      <c r="F67" s="21">
        <v>11661105.646967815</v>
      </c>
      <c r="G67" s="21" t="e">
        <f>#REF!-100000</f>
        <v>#REF!</v>
      </c>
      <c r="H67" s="21" t="e">
        <f>G67-F67</f>
        <v>#REF!</v>
      </c>
      <c r="J67" s="20" t="s">
        <v>91</v>
      </c>
    </row>
    <row r="68" spans="1:10" ht="15.75" customHeight="1" x14ac:dyDescent="0.2">
      <c r="A68" s="26"/>
      <c r="B68" s="21" t="s">
        <v>51</v>
      </c>
      <c r="C68" s="21"/>
      <c r="D68" s="2"/>
      <c r="E68" s="25">
        <v>-4253166.46</v>
      </c>
      <c r="F68" s="25">
        <v>-4135217</v>
      </c>
      <c r="G68" s="25" t="e">
        <f>#REF!</f>
        <v>#REF!</v>
      </c>
      <c r="H68" s="25" t="e">
        <f>G68-F68</f>
        <v>#REF!</v>
      </c>
      <c r="J68" s="17" t="s">
        <v>88</v>
      </c>
    </row>
    <row r="69" spans="1:10" ht="15.75" customHeight="1" x14ac:dyDescent="0.2">
      <c r="A69" s="26"/>
      <c r="B69" s="26" t="s">
        <v>52</v>
      </c>
      <c r="C69" s="21"/>
      <c r="D69" s="2"/>
      <c r="E69" s="21">
        <f>SUM(E67:E68)</f>
        <v>7810405.4400000004</v>
      </c>
      <c r="F69" s="21">
        <f>SUM(F67:F68)</f>
        <v>7525888.6469678152</v>
      </c>
      <c r="G69" s="21" t="e">
        <f>SUM(G67:G68)</f>
        <v>#REF!</v>
      </c>
      <c r="H69" s="21" t="e">
        <f>G69-F69</f>
        <v>#REF!</v>
      </c>
      <c r="J69" s="18"/>
    </row>
    <row r="70" spans="1:10" ht="15.75" customHeight="1" x14ac:dyDescent="0.2">
      <c r="A70" s="26"/>
      <c r="B70" s="21"/>
      <c r="C70" s="21"/>
      <c r="D70" s="2"/>
      <c r="E70" s="21"/>
      <c r="F70" s="21"/>
      <c r="G70" s="21"/>
      <c r="H70" s="21"/>
    </row>
    <row r="71" spans="1:10" ht="15.75" customHeight="1" x14ac:dyDescent="0.2">
      <c r="A71" s="26" t="s">
        <v>16</v>
      </c>
      <c r="B71" s="21"/>
      <c r="C71" s="21"/>
      <c r="D71" s="2"/>
      <c r="E71" s="25">
        <v>411109.45</v>
      </c>
      <c r="F71" s="25">
        <v>209691</v>
      </c>
      <c r="G71" s="25" t="e">
        <f>#REF!</f>
        <v>#REF!</v>
      </c>
      <c r="H71" s="25" t="e">
        <f>G71-F71</f>
        <v>#REF!</v>
      </c>
    </row>
    <row r="72" spans="1:10" ht="15.75" customHeight="1" x14ac:dyDescent="0.2">
      <c r="A72" s="26"/>
      <c r="B72" s="21"/>
      <c r="C72" s="21"/>
      <c r="D72" s="2"/>
      <c r="E72" s="21"/>
      <c r="F72" s="21"/>
      <c r="G72" s="21"/>
      <c r="H72" s="21"/>
    </row>
    <row r="73" spans="1:10" ht="15.75" customHeight="1" x14ac:dyDescent="0.2">
      <c r="A73" s="26" t="s">
        <v>21</v>
      </c>
      <c r="B73" s="21"/>
      <c r="C73" s="21"/>
      <c r="D73" s="2"/>
      <c r="E73" s="26">
        <f>SUM(E64,E69,E71)</f>
        <v>70634476.75</v>
      </c>
      <c r="F73" s="26">
        <f>SUM(F64,F69,F71)</f>
        <v>67921635.002720103</v>
      </c>
      <c r="G73" s="26" t="e">
        <f>SUM(G64,G69,G71)</f>
        <v>#REF!</v>
      </c>
      <c r="H73" s="26" t="e">
        <f>G73-F73</f>
        <v>#REF!</v>
      </c>
    </row>
    <row r="74" spans="1:10" ht="15.75" customHeight="1" x14ac:dyDescent="0.2">
      <c r="A74" s="26"/>
      <c r="B74" s="21"/>
      <c r="C74" s="21"/>
      <c r="D74" s="2"/>
      <c r="E74" s="21"/>
      <c r="F74" s="21"/>
      <c r="G74" s="21"/>
      <c r="H74" s="21"/>
    </row>
    <row r="75" spans="1:10" ht="15.75" customHeight="1" x14ac:dyDescent="0.2">
      <c r="A75" s="26" t="s">
        <v>22</v>
      </c>
      <c r="B75" s="21"/>
      <c r="C75" s="21"/>
      <c r="D75" s="2"/>
      <c r="E75" s="21"/>
      <c r="F75" s="21"/>
      <c r="G75" s="21"/>
      <c r="H75" s="21"/>
    </row>
    <row r="76" spans="1:10" ht="15.75" customHeight="1" x14ac:dyDescent="0.2">
      <c r="A76" s="26"/>
      <c r="B76" s="21" t="s">
        <v>62</v>
      </c>
      <c r="C76" s="21"/>
      <c r="D76" s="2"/>
      <c r="E76" s="21" t="e">
        <f>-#REF!</f>
        <v>#REF!</v>
      </c>
      <c r="F76" s="21">
        <v>-8893</v>
      </c>
      <c r="G76" s="21" t="e">
        <f>-#REF!</f>
        <v>#REF!</v>
      </c>
      <c r="H76" s="21" t="e">
        <f t="shared" ref="H76:H84" si="3">G76-F76</f>
        <v>#REF!</v>
      </c>
    </row>
    <row r="77" spans="1:10" ht="15.75" customHeight="1" x14ac:dyDescent="0.2">
      <c r="A77" s="26"/>
      <c r="B77" s="21" t="s">
        <v>12</v>
      </c>
      <c r="C77" s="21"/>
      <c r="D77" s="2"/>
      <c r="E77" s="21">
        <v>3214552.24</v>
      </c>
      <c r="F77" s="21">
        <v>3103418</v>
      </c>
      <c r="G77" s="21" t="e">
        <f>#REF!</f>
        <v>#REF!</v>
      </c>
      <c r="H77" s="21" t="e">
        <f t="shared" si="3"/>
        <v>#REF!</v>
      </c>
      <c r="J77" s="17" t="s">
        <v>90</v>
      </c>
    </row>
    <row r="78" spans="1:10" ht="15.75" customHeight="1" x14ac:dyDescent="0.2">
      <c r="A78" s="26"/>
      <c r="B78" s="21" t="s">
        <v>53</v>
      </c>
      <c r="C78" s="21"/>
      <c r="D78" s="2"/>
      <c r="E78" s="21">
        <v>150000</v>
      </c>
      <c r="F78" s="21">
        <v>150000</v>
      </c>
      <c r="G78" s="21" t="e">
        <f>#REF!</f>
        <v>#REF!</v>
      </c>
      <c r="H78" s="21" t="e">
        <f t="shared" si="3"/>
        <v>#REF!</v>
      </c>
    </row>
    <row r="79" spans="1:10" ht="15.75" customHeight="1" x14ac:dyDescent="0.2">
      <c r="A79" s="26"/>
      <c r="B79" s="21" t="s">
        <v>13</v>
      </c>
      <c r="C79" s="21"/>
      <c r="D79" s="2"/>
      <c r="E79" s="21" t="e">
        <f>#REF!</f>
        <v>#REF!</v>
      </c>
      <c r="F79" s="21">
        <v>4804</v>
      </c>
      <c r="G79" s="21" t="e">
        <f>#REF!</f>
        <v>#REF!</v>
      </c>
      <c r="H79" s="21" t="e">
        <f t="shared" si="3"/>
        <v>#REF!</v>
      </c>
    </row>
    <row r="80" spans="1:10" s="14" customFormat="1" ht="15.75" customHeight="1" x14ac:dyDescent="0.2">
      <c r="A80" s="26"/>
      <c r="B80" s="21" t="s">
        <v>76</v>
      </c>
      <c r="C80" s="21"/>
      <c r="D80" s="2"/>
      <c r="E80" s="21" t="e">
        <f>#REF!</f>
        <v>#REF!</v>
      </c>
      <c r="F80" s="21">
        <v>175000</v>
      </c>
      <c r="G80" s="21" t="e">
        <f>#REF!</f>
        <v>#REF!</v>
      </c>
      <c r="H80" s="21" t="e">
        <f t="shared" si="3"/>
        <v>#REF!</v>
      </c>
      <c r="J80" s="17"/>
    </row>
    <row r="81" spans="1:10" s="14" customFormat="1" ht="15.75" customHeight="1" x14ac:dyDescent="0.2">
      <c r="A81" s="26"/>
      <c r="B81" s="21" t="s">
        <v>71</v>
      </c>
      <c r="C81" s="21"/>
      <c r="D81" s="2"/>
      <c r="E81" s="21">
        <v>2698042.33</v>
      </c>
      <c r="F81" s="21">
        <v>0</v>
      </c>
      <c r="G81" s="21">
        <v>0</v>
      </c>
      <c r="H81" s="21">
        <f t="shared" si="3"/>
        <v>0</v>
      </c>
      <c r="J81" s="17"/>
    </row>
    <row r="82" spans="1:10" s="14" customFormat="1" ht="15.75" customHeight="1" x14ac:dyDescent="0.2">
      <c r="A82" s="26"/>
      <c r="B82" s="21" t="s">
        <v>72</v>
      </c>
      <c r="C82" s="21"/>
      <c r="D82" s="2"/>
      <c r="E82" s="21">
        <f>5885586.82-6062595</f>
        <v>-177008.1799999997</v>
      </c>
      <c r="F82" s="21">
        <v>0</v>
      </c>
      <c r="G82" s="21">
        <v>0</v>
      </c>
      <c r="H82" s="21">
        <f t="shared" si="3"/>
        <v>0</v>
      </c>
      <c r="J82" s="17"/>
    </row>
    <row r="83" spans="1:10" ht="15.75" customHeight="1" x14ac:dyDescent="0.2">
      <c r="A83" s="26"/>
      <c r="B83" s="21" t="s">
        <v>69</v>
      </c>
      <c r="C83" s="21"/>
      <c r="D83" s="2"/>
      <c r="E83" s="25" t="e">
        <f>#REF!</f>
        <v>#REF!</v>
      </c>
      <c r="F83" s="25">
        <v>0</v>
      </c>
      <c r="G83" s="28">
        <v>2000000</v>
      </c>
      <c r="H83" s="25">
        <f t="shared" si="3"/>
        <v>2000000</v>
      </c>
      <c r="J83" s="17" t="s">
        <v>89</v>
      </c>
    </row>
    <row r="84" spans="1:10" ht="15.75" customHeight="1" x14ac:dyDescent="0.2">
      <c r="A84" s="26" t="s">
        <v>55</v>
      </c>
      <c r="B84" s="21"/>
      <c r="C84" s="26"/>
      <c r="D84" s="2"/>
      <c r="E84" s="29" t="e">
        <f>SUM(E76:E83)</f>
        <v>#REF!</v>
      </c>
      <c r="F84" s="29">
        <f>SUM(F76:F83)</f>
        <v>3424329</v>
      </c>
      <c r="G84" s="29" t="e">
        <f>SUM(G76:G83)</f>
        <v>#REF!</v>
      </c>
      <c r="H84" s="29" t="e">
        <f t="shared" si="3"/>
        <v>#REF!</v>
      </c>
    </row>
    <row r="85" spans="1:10" ht="15.75" customHeight="1" x14ac:dyDescent="0.2">
      <c r="A85" s="26"/>
      <c r="B85" s="21"/>
      <c r="C85" s="21"/>
      <c r="D85" s="2"/>
      <c r="E85" s="21"/>
      <c r="F85" s="21"/>
      <c r="G85" s="21"/>
      <c r="H85" s="21"/>
    </row>
    <row r="86" spans="1:10" ht="15.75" customHeight="1" x14ac:dyDescent="0.2">
      <c r="A86" s="26" t="s">
        <v>83</v>
      </c>
      <c r="B86" s="21"/>
      <c r="C86" s="21"/>
      <c r="D86" s="2"/>
      <c r="E86" s="26" t="e">
        <f>E54-E73-E84</f>
        <v>#REF!</v>
      </c>
      <c r="F86" s="26">
        <f>F54-F73-F84</f>
        <v>-6512237.0027201027</v>
      </c>
      <c r="G86" s="26" t="e">
        <f>G54-G73-G84</f>
        <v>#REF!</v>
      </c>
      <c r="H86" s="26" t="e">
        <f>G86-F86</f>
        <v>#REF!</v>
      </c>
    </row>
    <row r="87" spans="1:10" ht="15.75" customHeight="1" x14ac:dyDescent="0.2">
      <c r="A87" s="26"/>
      <c r="B87" s="21"/>
      <c r="C87" s="21"/>
      <c r="D87" s="2"/>
      <c r="E87" s="21"/>
      <c r="F87" s="21"/>
      <c r="G87" s="21"/>
    </row>
    <row r="88" spans="1:10" ht="15.75" customHeight="1" x14ac:dyDescent="0.2">
      <c r="A88" s="26" t="s">
        <v>70</v>
      </c>
      <c r="B88" s="21"/>
      <c r="C88" s="21"/>
      <c r="D88" s="2"/>
      <c r="E88" s="26"/>
      <c r="F88" s="26"/>
      <c r="G88" s="26">
        <v>6240177.8600000003</v>
      </c>
    </row>
    <row r="89" spans="1:10" ht="15.75" customHeight="1" x14ac:dyDescent="0.2">
      <c r="G89" s="26"/>
    </row>
    <row r="90" spans="1:10" ht="15.75" customHeight="1" x14ac:dyDescent="0.2">
      <c r="A90" s="26" t="s">
        <v>81</v>
      </c>
      <c r="G90" s="26" t="e">
        <f>G86+G88</f>
        <v>#REF!</v>
      </c>
    </row>
    <row r="91" spans="1:10" ht="15.75" customHeight="1" x14ac:dyDescent="0.2">
      <c r="G91" s="26"/>
    </row>
    <row r="92" spans="1:10" ht="15.75" customHeight="1" x14ac:dyDescent="0.2">
      <c r="A92" s="26" t="s">
        <v>82</v>
      </c>
      <c r="G92" s="30" t="e">
        <f>G90/G54</f>
        <v>#REF!</v>
      </c>
    </row>
    <row r="93" spans="1:10" ht="15.75" customHeight="1" x14ac:dyDescent="0.2">
      <c r="G93" s="26"/>
    </row>
    <row r="94" spans="1:10" ht="15.75" customHeight="1" x14ac:dyDescent="0.2"/>
    <row r="95" spans="1:10" ht="15.75" customHeight="1" x14ac:dyDescent="0.2">
      <c r="G95" s="31"/>
    </row>
    <row r="96" spans="1:10" ht="15.75" customHeight="1" x14ac:dyDescent="0.2"/>
    <row r="97" ht="15.75" customHeight="1" x14ac:dyDescent="0.2"/>
  </sheetData>
  <pageMargins left="0.7" right="0.7" top="0.75" bottom="0.75" header="0.3" footer="0.3"/>
  <pageSetup scale="67" fitToHeight="0"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666E-0DC1-4353-AC8A-356096B84A1E}">
  <dimension ref="A1:L30"/>
  <sheetViews>
    <sheetView tabSelected="1" zoomScaleNormal="100" workbookViewId="0">
      <pane xSplit="4" ySplit="5" topLeftCell="E6" activePane="bottomRight" state="frozen"/>
      <selection pane="topRight" activeCell="E1" sqref="E1"/>
      <selection pane="bottomLeft" activeCell="A6" sqref="A6"/>
      <selection pane="bottomRight" activeCell="G30" sqref="G30"/>
    </sheetView>
  </sheetViews>
  <sheetFormatPr baseColWidth="10" defaultColWidth="8.83203125" defaultRowHeight="14" x14ac:dyDescent="0.15"/>
  <cols>
    <col min="1" max="2" width="2.6640625" customWidth="1"/>
    <col min="3" max="3" width="28.33203125" style="33" customWidth="1"/>
    <col min="4" max="4" width="2.6640625" customWidth="1"/>
    <col min="5" max="5" width="13.6640625" style="13" bestFit="1" customWidth="1"/>
    <col min="6" max="6" width="2.6640625" style="33" customWidth="1"/>
    <col min="7" max="7" width="11.1640625" style="13" bestFit="1" customWidth="1"/>
    <col min="8" max="8" width="13.33203125" style="13" bestFit="1" customWidth="1"/>
    <col min="9" max="9" width="11.1640625" style="13" bestFit="1" customWidth="1"/>
    <col min="10" max="10" width="13.33203125" style="13" bestFit="1" customWidth="1"/>
    <col min="11" max="11" width="2.6640625" customWidth="1"/>
  </cols>
  <sheetData>
    <row r="1" spans="1:12" x14ac:dyDescent="0.15">
      <c r="A1" s="35" t="s">
        <v>124</v>
      </c>
    </row>
    <row r="2" spans="1:12" x14ac:dyDescent="0.15">
      <c r="A2" s="35" t="s">
        <v>114</v>
      </c>
    </row>
    <row r="3" spans="1:12" x14ac:dyDescent="0.15">
      <c r="A3" s="35" t="s">
        <v>122</v>
      </c>
    </row>
    <row r="4" spans="1:12" s="32" customFormat="1" x14ac:dyDescent="0.15">
      <c r="C4" s="33"/>
      <c r="E4" s="37" t="s">
        <v>110</v>
      </c>
      <c r="F4" s="33"/>
      <c r="G4" s="41" t="s">
        <v>104</v>
      </c>
      <c r="H4" s="41"/>
      <c r="I4" s="41" t="s">
        <v>105</v>
      </c>
      <c r="J4" s="41"/>
      <c r="K4" s="35"/>
      <c r="L4" s="35"/>
    </row>
    <row r="5" spans="1:12" s="32" customFormat="1" x14ac:dyDescent="0.15">
      <c r="C5" s="33"/>
      <c r="E5" s="37" t="s">
        <v>111</v>
      </c>
      <c r="F5" s="33"/>
      <c r="G5" s="36" t="s">
        <v>106</v>
      </c>
      <c r="H5" s="36" t="s">
        <v>121</v>
      </c>
      <c r="I5" s="36" t="s">
        <v>106</v>
      </c>
      <c r="J5" s="36" t="s">
        <v>121</v>
      </c>
      <c r="K5" s="35"/>
      <c r="L5" s="35" t="s">
        <v>10</v>
      </c>
    </row>
    <row r="6" spans="1:12" x14ac:dyDescent="0.15">
      <c r="A6" t="s">
        <v>6</v>
      </c>
    </row>
    <row r="7" spans="1:12" x14ac:dyDescent="0.15">
      <c r="B7" t="s">
        <v>73</v>
      </c>
    </row>
    <row r="8" spans="1:12" s="33" customFormat="1" x14ac:dyDescent="0.15">
      <c r="C8" s="1" t="s">
        <v>3</v>
      </c>
      <c r="E8" s="13">
        <v>38190000</v>
      </c>
      <c r="G8" s="13">
        <v>33773632</v>
      </c>
      <c r="H8" s="13">
        <f>$G8</f>
        <v>33773632</v>
      </c>
      <c r="I8" s="13">
        <v>35479720</v>
      </c>
      <c r="J8" s="13">
        <f t="shared" ref="J8:J11" si="0">I8</f>
        <v>35479720</v>
      </c>
    </row>
    <row r="9" spans="1:12" s="33" customFormat="1" x14ac:dyDescent="0.15">
      <c r="C9" s="1" t="s">
        <v>107</v>
      </c>
      <c r="E9" s="13">
        <v>5500000</v>
      </c>
      <c r="G9" s="13">
        <v>2303004</v>
      </c>
      <c r="H9" s="13">
        <f>$G9</f>
        <v>2303004</v>
      </c>
      <c r="I9" s="13">
        <v>2430935</v>
      </c>
      <c r="J9" s="13">
        <f t="shared" si="0"/>
        <v>2430935</v>
      </c>
    </row>
    <row r="10" spans="1:12" s="33" customFormat="1" x14ac:dyDescent="0.15">
      <c r="C10" s="1" t="s">
        <v>108</v>
      </c>
      <c r="E10" s="13">
        <f>6825000-5500000</f>
        <v>1325000</v>
      </c>
      <c r="G10" s="38">
        <f>3270504-G9</f>
        <v>967500</v>
      </c>
      <c r="H10" s="38">
        <f>$G10</f>
        <v>967500</v>
      </c>
      <c r="I10" s="38">
        <f>3427185-I9</f>
        <v>996250</v>
      </c>
      <c r="J10" s="38">
        <f t="shared" si="0"/>
        <v>996250</v>
      </c>
    </row>
    <row r="11" spans="1:12" s="33" customFormat="1" x14ac:dyDescent="0.15">
      <c r="C11" s="1" t="s">
        <v>109</v>
      </c>
      <c r="E11" s="13">
        <v>-7050000</v>
      </c>
      <c r="G11" s="38">
        <v>-5500000</v>
      </c>
      <c r="H11" s="38">
        <f>$G11</f>
        <v>-5500000</v>
      </c>
      <c r="I11" s="38">
        <f>$G11</f>
        <v>-5500000</v>
      </c>
      <c r="J11" s="38">
        <f t="shared" si="0"/>
        <v>-5500000</v>
      </c>
    </row>
    <row r="12" spans="1:12" x14ac:dyDescent="0.15">
      <c r="B12" t="s">
        <v>99</v>
      </c>
      <c r="E12" s="13">
        <v>28981566</v>
      </c>
      <c r="G12" s="38">
        <f>28634855+307728+382188</f>
        <v>29324771</v>
      </c>
      <c r="H12" s="38">
        <v>31115523</v>
      </c>
      <c r="I12" s="38">
        <f>G12</f>
        <v>29324771</v>
      </c>
      <c r="J12" s="38">
        <f>H12</f>
        <v>31115523</v>
      </c>
      <c r="L12" s="1" t="s">
        <v>123</v>
      </c>
    </row>
    <row r="13" spans="1:12" ht="17" x14ac:dyDescent="0.3">
      <c r="B13" t="s">
        <v>23</v>
      </c>
      <c r="E13" s="34">
        <v>3100000</v>
      </c>
      <c r="G13" s="39">
        <v>2987500</v>
      </c>
      <c r="H13" s="39">
        <f>$G$13</f>
        <v>2987500</v>
      </c>
      <c r="I13" s="39">
        <f>G13</f>
        <v>2987500</v>
      </c>
      <c r="J13" s="39">
        <f>G13</f>
        <v>2987500</v>
      </c>
    </row>
    <row r="14" spans="1:12" s="32" customFormat="1" x14ac:dyDescent="0.15">
      <c r="B14" s="32" t="s">
        <v>9</v>
      </c>
      <c r="C14" s="33"/>
      <c r="E14" s="13">
        <f>SUM(E7:E13)</f>
        <v>70046566</v>
      </c>
      <c r="F14" s="33"/>
      <c r="G14" s="38">
        <f>SUM(G7:G13)</f>
        <v>63856407</v>
      </c>
      <c r="H14" s="38">
        <f>SUM(H7:H13)</f>
        <v>65647159</v>
      </c>
      <c r="I14" s="38">
        <f>SUM(I7:I13)</f>
        <v>65719176</v>
      </c>
      <c r="J14" s="38">
        <f>SUM(J7:J13)</f>
        <v>67509928</v>
      </c>
    </row>
    <row r="15" spans="1:12" x14ac:dyDescent="0.15">
      <c r="G15" s="38"/>
      <c r="H15" s="38"/>
      <c r="I15" s="38"/>
      <c r="J15" s="38"/>
    </row>
    <row r="16" spans="1:12" x14ac:dyDescent="0.15">
      <c r="A16" t="s">
        <v>19</v>
      </c>
      <c r="G16" s="38"/>
      <c r="H16" s="38"/>
      <c r="I16" s="38"/>
      <c r="J16" s="38"/>
    </row>
    <row r="17" spans="1:12" x14ac:dyDescent="0.15">
      <c r="B17" t="s">
        <v>15</v>
      </c>
      <c r="G17" s="38"/>
      <c r="H17" s="38"/>
      <c r="I17" s="38"/>
      <c r="J17" s="38"/>
    </row>
    <row r="18" spans="1:12" s="33" customFormat="1" x14ac:dyDescent="0.15">
      <c r="C18" s="1" t="s">
        <v>116</v>
      </c>
      <c r="E18" s="13">
        <f>12359031+5315786+1072376</f>
        <v>18747193</v>
      </c>
      <c r="G18" s="38">
        <v>17950673</v>
      </c>
      <c r="H18" s="38">
        <f t="shared" ref="H18:J25" si="1">$G18</f>
        <v>17950673</v>
      </c>
      <c r="I18" s="38">
        <f t="shared" si="1"/>
        <v>17950673</v>
      </c>
      <c r="J18" s="38">
        <f t="shared" si="1"/>
        <v>17950673</v>
      </c>
      <c r="L18" s="1" t="s">
        <v>120</v>
      </c>
    </row>
    <row r="19" spans="1:12" s="33" customFormat="1" x14ac:dyDescent="0.15">
      <c r="C19" s="1" t="s">
        <v>117</v>
      </c>
      <c r="E19" s="13">
        <v>8366820</v>
      </c>
      <c r="G19" s="38">
        <v>8331187</v>
      </c>
      <c r="H19" s="38">
        <f t="shared" ref="H19:J22" si="2">$G19</f>
        <v>8331187</v>
      </c>
      <c r="I19" s="38">
        <f t="shared" si="2"/>
        <v>8331187</v>
      </c>
      <c r="J19" s="38">
        <f t="shared" si="2"/>
        <v>8331187</v>
      </c>
      <c r="L19" s="1" t="s">
        <v>125</v>
      </c>
    </row>
    <row r="20" spans="1:12" s="33" customFormat="1" x14ac:dyDescent="0.15">
      <c r="C20" s="1" t="s">
        <v>115</v>
      </c>
      <c r="E20" s="13">
        <f>1022131-250000</f>
        <v>772131</v>
      </c>
      <c r="G20" s="38">
        <v>543174</v>
      </c>
      <c r="H20" s="38">
        <f t="shared" si="2"/>
        <v>543174</v>
      </c>
      <c r="I20" s="38">
        <f t="shared" si="2"/>
        <v>543174</v>
      </c>
      <c r="J20" s="38">
        <f t="shared" si="2"/>
        <v>543174</v>
      </c>
      <c r="L20" s="1"/>
    </row>
    <row r="21" spans="1:12" s="33" customFormat="1" x14ac:dyDescent="0.15">
      <c r="C21" s="1" t="s">
        <v>118</v>
      </c>
      <c r="E21" s="13">
        <v>6071246</v>
      </c>
      <c r="G21" s="13">
        <f>6651197</f>
        <v>6651197</v>
      </c>
      <c r="H21" s="13">
        <f t="shared" si="2"/>
        <v>6651197</v>
      </c>
      <c r="I21" s="13">
        <f t="shared" si="2"/>
        <v>6651197</v>
      </c>
      <c r="J21" s="13">
        <f t="shared" si="2"/>
        <v>6651197</v>
      </c>
      <c r="L21" s="1" t="s">
        <v>125</v>
      </c>
    </row>
    <row r="22" spans="1:12" s="33" customFormat="1" x14ac:dyDescent="0.15">
      <c r="C22" s="1" t="s">
        <v>119</v>
      </c>
      <c r="E22" s="13">
        <f>543128-350000</f>
        <v>193128</v>
      </c>
      <c r="G22" s="13">
        <v>243128</v>
      </c>
      <c r="H22" s="13">
        <f t="shared" si="2"/>
        <v>243128</v>
      </c>
      <c r="I22" s="13">
        <f t="shared" si="2"/>
        <v>243128</v>
      </c>
      <c r="J22" s="13">
        <f t="shared" si="2"/>
        <v>243128</v>
      </c>
      <c r="L22" s="1"/>
    </row>
    <row r="23" spans="1:12" s="33" customFormat="1" x14ac:dyDescent="0.15">
      <c r="C23" s="1" t="s">
        <v>2</v>
      </c>
      <c r="E23" s="13">
        <v>1720177</v>
      </c>
      <c r="G23" s="13">
        <v>1720176.6218749997</v>
      </c>
      <c r="H23" s="13">
        <f t="shared" si="1"/>
        <v>1720176.6218749997</v>
      </c>
      <c r="I23" s="13">
        <f t="shared" si="1"/>
        <v>1720176.6218749997</v>
      </c>
      <c r="J23" s="13">
        <f t="shared" si="1"/>
        <v>1720176.6218749997</v>
      </c>
      <c r="L23" s="1"/>
    </row>
    <row r="24" spans="1:12" s="33" customFormat="1" x14ac:dyDescent="0.15">
      <c r="C24" s="1" t="s">
        <v>112</v>
      </c>
      <c r="E24" s="13">
        <v>700000</v>
      </c>
      <c r="G24" s="13">
        <v>0</v>
      </c>
      <c r="H24" s="13">
        <f>$G24</f>
        <v>0</v>
      </c>
      <c r="I24" s="13">
        <f t="shared" si="1"/>
        <v>0</v>
      </c>
      <c r="J24" s="13">
        <f t="shared" si="1"/>
        <v>0</v>
      </c>
      <c r="L24" s="1"/>
    </row>
    <row r="25" spans="1:12" s="33" customFormat="1" x14ac:dyDescent="0.15">
      <c r="C25" s="1" t="s">
        <v>7</v>
      </c>
      <c r="E25" s="13">
        <v>20626996</v>
      </c>
      <c r="G25" s="13">
        <v>20816382</v>
      </c>
      <c r="H25" s="13">
        <f t="shared" si="1"/>
        <v>20816382</v>
      </c>
      <c r="I25" s="13">
        <f t="shared" si="1"/>
        <v>20816382</v>
      </c>
      <c r="J25" s="13">
        <f t="shared" si="1"/>
        <v>20816382</v>
      </c>
      <c r="L25" t="s">
        <v>113</v>
      </c>
    </row>
    <row r="26" spans="1:12" x14ac:dyDescent="0.15">
      <c r="B26" s="1" t="s">
        <v>100</v>
      </c>
      <c r="C26" s="1"/>
      <c r="E26" s="13">
        <v>9058505</v>
      </c>
      <c r="G26" s="13">
        <v>9150279</v>
      </c>
      <c r="H26" s="13">
        <f>$G$26</f>
        <v>9150279</v>
      </c>
      <c r="I26" s="13">
        <f>$G$26</f>
        <v>9150279</v>
      </c>
      <c r="J26" s="13">
        <f>$G$26</f>
        <v>9150279</v>
      </c>
    </row>
    <row r="27" spans="1:12" ht="17" x14ac:dyDescent="0.3">
      <c r="A27" t="s">
        <v>101</v>
      </c>
      <c r="E27" s="34">
        <v>5093785</v>
      </c>
      <c r="G27" s="34">
        <v>3093785</v>
      </c>
      <c r="H27" s="34">
        <f>$G$27</f>
        <v>3093785</v>
      </c>
      <c r="I27" s="34">
        <f>$G$27</f>
        <v>3093785</v>
      </c>
      <c r="J27" s="34">
        <f>$G$27</f>
        <v>3093785</v>
      </c>
    </row>
    <row r="28" spans="1:12" x14ac:dyDescent="0.15">
      <c r="A28" t="s">
        <v>102</v>
      </c>
      <c r="E28" s="13">
        <f>SUM(E17:E27)</f>
        <v>71349981</v>
      </c>
      <c r="G28" s="13">
        <f>SUM(G17:G27)</f>
        <v>68499981.621875003</v>
      </c>
      <c r="H28" s="13">
        <f>SUM(H17:H27)</f>
        <v>68499981.621875003</v>
      </c>
      <c r="I28" s="13">
        <f>SUM(I17:I27)</f>
        <v>68499981.621875003</v>
      </c>
      <c r="J28" s="13">
        <f>SUM(J17:J27)</f>
        <v>68499981.621875003</v>
      </c>
    </row>
    <row r="30" spans="1:12" x14ac:dyDescent="0.15">
      <c r="A30" s="35" t="s">
        <v>103</v>
      </c>
      <c r="B30" s="35"/>
      <c r="C30" s="35"/>
      <c r="D30" s="35"/>
      <c r="E30" s="36">
        <f>E14-E28</f>
        <v>-1303415</v>
      </c>
      <c r="F30" s="35"/>
      <c r="G30" s="36">
        <f>G14-G28</f>
        <v>-4643574.621875003</v>
      </c>
      <c r="H30" s="36">
        <f>H14-H28</f>
        <v>-2852822.621875003</v>
      </c>
      <c r="I30" s="36">
        <f>I14-I28</f>
        <v>-2780805.621875003</v>
      </c>
      <c r="J30" s="36">
        <f>J14-J28</f>
        <v>-990053.62187500298</v>
      </c>
    </row>
  </sheetData>
  <mergeCells count="2">
    <mergeCell ref="G4:H4"/>
    <mergeCell ref="I4:J4"/>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E&amp;G Detail</vt:lpstr>
      <vt:lpstr>Sheet1</vt:lpstr>
      <vt:lpstr>'E&amp;G Detail'!Print_Area</vt:lpstr>
      <vt:lpstr>Summary!Print_Area</vt:lpstr>
      <vt:lpstr>'E&amp;G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UCS</dc:creator>
  <cp:lastModifiedBy>Susanne Monahan</cp:lastModifiedBy>
  <cp:lastPrinted>2020-10-16T15:25:44Z</cp:lastPrinted>
  <dcterms:created xsi:type="dcterms:W3CDTF">2018-02-19T22:40:31Z</dcterms:created>
  <dcterms:modified xsi:type="dcterms:W3CDTF">2021-04-15T00:56:55Z</dcterms:modified>
</cp:coreProperties>
</file>