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7980" tabRatio="694" activeTab="0"/>
  </bookViews>
  <sheets>
    <sheet name="data" sheetId="1" r:id="rId1"/>
    <sheet name="list" sheetId="2" r:id="rId2"/>
    <sheet name="MP" sheetId="3" r:id="rId3"/>
    <sheet name="BP" sheetId="4" r:id="rId4"/>
    <sheet name="SpGr" sheetId="5" r:id="rId5"/>
    <sheet name="at.wt." sheetId="6" r:id="rId6"/>
    <sheet name="ox. state" sheetId="7" r:id="rId7"/>
    <sheet name="radii" sheetId="8" r:id="rId8"/>
    <sheet name="first IP" sheetId="9" r:id="rId9"/>
    <sheet name="Cp" sheetId="10" r:id="rId10"/>
    <sheet name="thermal cond" sheetId="11" r:id="rId11"/>
    <sheet name="elect. cond." sheetId="12" r:id="rId12"/>
    <sheet name="Heat of Fus" sheetId="13" r:id="rId13"/>
    <sheet name="heat of vap" sheetId="14" r:id="rId14"/>
    <sheet name="electronegativity" sheetId="15" r:id="rId15"/>
    <sheet name="2nd most common ox state" sheetId="16" r:id="rId16"/>
    <sheet name="mg per Kg crust" sheetId="17" r:id="rId17"/>
    <sheet name="years since discovery" sheetId="18" r:id="rId18"/>
    <sheet name="name length vs. age" sheetId="19" r:id="rId19"/>
    <sheet name="electroneg vs ox state" sheetId="20" r:id="rId20"/>
    <sheet name="Sheet2" sheetId="21" r:id="rId21"/>
    <sheet name="Sheet1" sheetId="22" r:id="rId22"/>
    <sheet name="p.table" sheetId="23" r:id="rId23"/>
  </sheets>
  <definedNames>
    <definedName name="__123Graph_A" hidden="1">'data'!$D$3:$D$108</definedName>
    <definedName name="__123Graph_ACHART1" hidden="1">'data'!$K$3:$K$108</definedName>
    <definedName name="__123Graph_B" hidden="1">'data'!$E$3:$E$108</definedName>
    <definedName name="__123Graph_X" hidden="1">'data'!$C$3:$C$108</definedName>
    <definedName name="__123Graph_XCHART1" hidden="1">'data'!$B$3:$B$108</definedName>
    <definedName name="_2nd_most_stable_oxidation_state">'data'!$W$1:$W$112</definedName>
    <definedName name="_3rd_most_stable_oxidation_state">'data'!$X$1:$X$112</definedName>
    <definedName name="_4th_most_stable_oxidation_state">'data'!$Y$1:$Y$112</definedName>
    <definedName name="_Regression_Int" localSheetId="0" hidden="1">1</definedName>
    <definedName name="At._Radius">'data'!$J$1:$J$112</definedName>
    <definedName name="at._wt.">'data'!$G$1:$G$112</definedName>
    <definedName name="Atomic_number">'data'!$B$1:$B$112</definedName>
    <definedName name="BP">'data'!$D$1:$D$112</definedName>
    <definedName name="covalent_radius">'data'!$I$1:$I$112</definedName>
    <definedName name="Cp">'data'!$L$1:$L$112</definedName>
    <definedName name="Density">'data'!$F$1:$F$112</definedName>
    <definedName name="electrical_conductivity">'data'!$N$1:$N$112</definedName>
    <definedName name="Electronegativity">'data'!$Q$1:$Q$112</definedName>
    <definedName name="Family">'data'!$S$1:$S$112</definedName>
    <definedName name="First_IP">'data'!$K$1:$K$112</definedName>
    <definedName name="Group">'data'!$T$1:$T$112</definedName>
    <definedName name="heat_of_fusion">'data'!$O$1:$O$112</definedName>
    <definedName name="Heat_of_Vap">'data'!$P$1:$P$112</definedName>
    <definedName name="human_body_mass">'data'!$AB$1:$AB$112</definedName>
    <definedName name="lenth_of_name">'data'!$AC$1</definedName>
    <definedName name="Metal_or_Non_metal">'data'!$V$1:$V$112</definedName>
    <definedName name="mg_kg_crust">'data'!$Z$1:$Z$112</definedName>
    <definedName name="mg_L_seawater">'data'!$AA$1:$AA$112</definedName>
    <definedName name="Most_stable_oxidation_State">'data'!$H$1:$H$112</definedName>
    <definedName name="MP">'data'!$E$1:$E$112</definedName>
    <definedName name="Name">'data'!$C$1:$C$112</definedName>
    <definedName name="orbitla">'data'!$U$1:$U$112</definedName>
    <definedName name="_xlnm.Print_Area" localSheetId="0">'data'!$B$2:$AE$117</definedName>
    <definedName name="_xlnm.Print_Area" localSheetId="1">'list'!$A$1:$E$20</definedName>
    <definedName name="_xlnm.Print_Area" localSheetId="22">'p.table'!$B$1:$U$12</definedName>
    <definedName name="_xlnm.Print_Titles" localSheetId="0">'data'!$1:$1</definedName>
    <definedName name="Print_Titles_MI" localSheetId="0">'data'!$1:$1</definedName>
    <definedName name="thermal_conductivity">'data'!$M$1:$M$112</definedName>
    <definedName name="Years_Since_Discovery">'data'!$R$1:$R$112</definedName>
  </definedNames>
  <calcPr fullCalcOnLoad="1"/>
</workbook>
</file>

<file path=xl/sharedStrings.xml><?xml version="1.0" encoding="utf-8"?>
<sst xmlns="http://schemas.openxmlformats.org/spreadsheetml/2006/main" count="860" uniqueCount="409">
  <si>
    <t>Name</t>
  </si>
  <si>
    <t>At. #</t>
  </si>
  <si>
    <t>Symbol</t>
  </si>
  <si>
    <t xml:space="preserve"> BP (K)</t>
  </si>
  <si>
    <t>MP (K)</t>
  </si>
  <si>
    <t>Density</t>
  </si>
  <si>
    <t>at. wt.</t>
  </si>
  <si>
    <t>Most stable oxidation State</t>
  </si>
  <si>
    <t>covalent radius</t>
  </si>
  <si>
    <t>At. Radius   (angstroms)</t>
  </si>
  <si>
    <t>First IP</t>
  </si>
  <si>
    <t>specific heat capacity</t>
  </si>
  <si>
    <t>thermal conductivity</t>
  </si>
  <si>
    <t>electrical conductivity</t>
  </si>
  <si>
    <t>heat of fusion</t>
  </si>
  <si>
    <t>Heat of Vaporization</t>
  </si>
  <si>
    <t>Electro-  negativity</t>
  </si>
  <si>
    <t>Years Since Discovery</t>
  </si>
  <si>
    <t>Family</t>
  </si>
  <si>
    <t>Group</t>
  </si>
  <si>
    <t>orbitla</t>
  </si>
  <si>
    <t>Metal or Non-metal</t>
  </si>
  <si>
    <t>2nd most stable oxidation state</t>
  </si>
  <si>
    <t>3rd most stable oxidation state</t>
  </si>
  <si>
    <t>4th most stable oxidation state</t>
  </si>
  <si>
    <t>mg/kg crust</t>
  </si>
  <si>
    <t>mg/L seawater</t>
  </si>
  <si>
    <t>% human body mass</t>
  </si>
  <si>
    <t>length of name</t>
  </si>
  <si>
    <t>Portugues Name</t>
  </si>
  <si>
    <t>hydrogen</t>
  </si>
  <si>
    <t>H</t>
  </si>
  <si>
    <t>Hydrogen</t>
  </si>
  <si>
    <t>s</t>
  </si>
  <si>
    <t>M</t>
  </si>
  <si>
    <t>hidrogênio</t>
  </si>
  <si>
    <t>helium</t>
  </si>
  <si>
    <t>He</t>
  </si>
  <si>
    <t>Noble gas</t>
  </si>
  <si>
    <t>N</t>
  </si>
  <si>
    <t>hélio</t>
  </si>
  <si>
    <t>lithium</t>
  </si>
  <si>
    <t>Li</t>
  </si>
  <si>
    <t>Alkali Metal</t>
  </si>
  <si>
    <t>lítio</t>
  </si>
  <si>
    <t>beryllium</t>
  </si>
  <si>
    <t>Be</t>
  </si>
  <si>
    <t>Alkaline Earth</t>
  </si>
  <si>
    <t>berílio</t>
  </si>
  <si>
    <t>boron</t>
  </si>
  <si>
    <t>B</t>
  </si>
  <si>
    <t>Boron</t>
  </si>
  <si>
    <t>p</t>
  </si>
  <si>
    <t>boro</t>
  </si>
  <si>
    <t>carbon</t>
  </si>
  <si>
    <t>C</t>
  </si>
  <si>
    <t>*</t>
  </si>
  <si>
    <t>Carbon</t>
  </si>
  <si>
    <t>carbono</t>
  </si>
  <si>
    <t>nitrogen</t>
  </si>
  <si>
    <t>Pnictide</t>
  </si>
  <si>
    <t>nitrogênio</t>
  </si>
  <si>
    <t>oxygen</t>
  </si>
  <si>
    <t>O</t>
  </si>
  <si>
    <t>Chalcogen</t>
  </si>
  <si>
    <t>oxigênio</t>
  </si>
  <si>
    <t>fluorine</t>
  </si>
  <si>
    <t>F</t>
  </si>
  <si>
    <t>Halogen</t>
  </si>
  <si>
    <t>flúor</t>
  </si>
  <si>
    <t>neon</t>
  </si>
  <si>
    <t>Ne</t>
  </si>
  <si>
    <t>neônio</t>
  </si>
  <si>
    <t>sodium</t>
  </si>
  <si>
    <t>Na</t>
  </si>
  <si>
    <t>sódio</t>
  </si>
  <si>
    <t>magnesium</t>
  </si>
  <si>
    <t>Mg</t>
  </si>
  <si>
    <t>magnésio</t>
  </si>
  <si>
    <t>aluminum</t>
  </si>
  <si>
    <t>Al</t>
  </si>
  <si>
    <t>alumínio</t>
  </si>
  <si>
    <t>silicon</t>
  </si>
  <si>
    <t>Si</t>
  </si>
  <si>
    <t>silício</t>
  </si>
  <si>
    <t>phosphorus</t>
  </si>
  <si>
    <t>P</t>
  </si>
  <si>
    <t>fósforo</t>
  </si>
  <si>
    <t>sulfur</t>
  </si>
  <si>
    <t>S</t>
  </si>
  <si>
    <t>enxofre</t>
  </si>
  <si>
    <t>chlorine</t>
  </si>
  <si>
    <t>Cl</t>
  </si>
  <si>
    <t>cloro</t>
  </si>
  <si>
    <t>argon</t>
  </si>
  <si>
    <t>Ar</t>
  </si>
  <si>
    <t>argônio</t>
  </si>
  <si>
    <t>potassium</t>
  </si>
  <si>
    <t>K</t>
  </si>
  <si>
    <t>potássio</t>
  </si>
  <si>
    <t>calcium</t>
  </si>
  <si>
    <t>Ca</t>
  </si>
  <si>
    <t>calico</t>
  </si>
  <si>
    <t>scandium</t>
  </si>
  <si>
    <t>Sc</t>
  </si>
  <si>
    <t>Transition Metal</t>
  </si>
  <si>
    <t>d</t>
  </si>
  <si>
    <t>escândio</t>
  </si>
  <si>
    <t>titanium</t>
  </si>
  <si>
    <t>Ti</t>
  </si>
  <si>
    <t>titânio</t>
  </si>
  <si>
    <t>vanadium</t>
  </si>
  <si>
    <t>V</t>
  </si>
  <si>
    <t>vanâdio</t>
  </si>
  <si>
    <t>chromium</t>
  </si>
  <si>
    <t>Cr</t>
  </si>
  <si>
    <t>cromo</t>
  </si>
  <si>
    <t>manganese</t>
  </si>
  <si>
    <t>Mn</t>
  </si>
  <si>
    <t>manganês</t>
  </si>
  <si>
    <t>iron</t>
  </si>
  <si>
    <t>Fe</t>
  </si>
  <si>
    <t>ferro</t>
  </si>
  <si>
    <t>cobalt</t>
  </si>
  <si>
    <t>Co</t>
  </si>
  <si>
    <t>cobalto</t>
  </si>
  <si>
    <t>nickel</t>
  </si>
  <si>
    <t>Ni</t>
  </si>
  <si>
    <t>níquel</t>
  </si>
  <si>
    <t>copper</t>
  </si>
  <si>
    <t>Cu</t>
  </si>
  <si>
    <t>cobre</t>
  </si>
  <si>
    <t>zinc</t>
  </si>
  <si>
    <t>Zn</t>
  </si>
  <si>
    <t>zinco</t>
  </si>
  <si>
    <t>gallium</t>
  </si>
  <si>
    <t>Ga</t>
  </si>
  <si>
    <t>gálio</t>
  </si>
  <si>
    <t>germanium</t>
  </si>
  <si>
    <t>Ge</t>
  </si>
  <si>
    <t>germândio</t>
  </si>
  <si>
    <t>arsenic</t>
  </si>
  <si>
    <t>As</t>
  </si>
  <si>
    <t>arsênio</t>
  </si>
  <si>
    <t>selenium</t>
  </si>
  <si>
    <t>Se</t>
  </si>
  <si>
    <t>selênio</t>
  </si>
  <si>
    <t>bromine</t>
  </si>
  <si>
    <t>Br</t>
  </si>
  <si>
    <t>bromo</t>
  </si>
  <si>
    <t>krypton</t>
  </si>
  <si>
    <t>Kr</t>
  </si>
  <si>
    <t>criptônio</t>
  </si>
  <si>
    <t>rubidium</t>
  </si>
  <si>
    <t>Rb</t>
  </si>
  <si>
    <t>rubídio</t>
  </si>
  <si>
    <t>strontium</t>
  </si>
  <si>
    <t>Sr</t>
  </si>
  <si>
    <t>estrôntio</t>
  </si>
  <si>
    <t>yttrium</t>
  </si>
  <si>
    <t>Y</t>
  </si>
  <si>
    <t>ítrio</t>
  </si>
  <si>
    <t>zirconium</t>
  </si>
  <si>
    <t>Zr</t>
  </si>
  <si>
    <t>zircônio</t>
  </si>
  <si>
    <t>niobium</t>
  </si>
  <si>
    <t>Nb</t>
  </si>
  <si>
    <t>nióbio</t>
  </si>
  <si>
    <t>molybdenum</t>
  </si>
  <si>
    <t>Mo</t>
  </si>
  <si>
    <t>molibdênio</t>
  </si>
  <si>
    <t>technetium</t>
  </si>
  <si>
    <t>Tc</t>
  </si>
  <si>
    <t>tecnécio</t>
  </si>
  <si>
    <t>ruthenium</t>
  </si>
  <si>
    <t>Ru</t>
  </si>
  <si>
    <t>rutênio</t>
  </si>
  <si>
    <t>rhodium</t>
  </si>
  <si>
    <t>Rh</t>
  </si>
  <si>
    <t>ródio</t>
  </si>
  <si>
    <t>palladium</t>
  </si>
  <si>
    <t>Pd</t>
  </si>
  <si>
    <t>paládio</t>
  </si>
  <si>
    <t>silver</t>
  </si>
  <si>
    <t>Ag</t>
  </si>
  <si>
    <t>prata</t>
  </si>
  <si>
    <t>cadmium</t>
  </si>
  <si>
    <t>Cd</t>
  </si>
  <si>
    <t>cádmio</t>
  </si>
  <si>
    <t>indium</t>
  </si>
  <si>
    <t>In</t>
  </si>
  <si>
    <t>indio</t>
  </si>
  <si>
    <t>tin</t>
  </si>
  <si>
    <t>Sn</t>
  </si>
  <si>
    <t>estanho</t>
  </si>
  <si>
    <t>antimony</t>
  </si>
  <si>
    <t>Sb</t>
  </si>
  <si>
    <t>antimônio</t>
  </si>
  <si>
    <t>tellurium</t>
  </si>
  <si>
    <t>Te</t>
  </si>
  <si>
    <t>telúrio</t>
  </si>
  <si>
    <t>iodine</t>
  </si>
  <si>
    <t>I</t>
  </si>
  <si>
    <t>iodo</t>
  </si>
  <si>
    <t>xenon</t>
  </si>
  <si>
    <t>Xe</t>
  </si>
  <si>
    <t>xenônio</t>
  </si>
  <si>
    <t>cesium</t>
  </si>
  <si>
    <t>Cs</t>
  </si>
  <si>
    <t>césio</t>
  </si>
  <si>
    <t>barium</t>
  </si>
  <si>
    <t>Ba</t>
  </si>
  <si>
    <t>bário</t>
  </si>
  <si>
    <t>lanthanum</t>
  </si>
  <si>
    <t>La</t>
  </si>
  <si>
    <t>Rare Earth</t>
  </si>
  <si>
    <t>lantânio</t>
  </si>
  <si>
    <t>cerium</t>
  </si>
  <si>
    <t>Ce</t>
  </si>
  <si>
    <t>f</t>
  </si>
  <si>
    <t>cério</t>
  </si>
  <si>
    <t>praseodymium</t>
  </si>
  <si>
    <t>Pr</t>
  </si>
  <si>
    <t>praseodímio</t>
  </si>
  <si>
    <t>neodymium</t>
  </si>
  <si>
    <t>Nd</t>
  </si>
  <si>
    <t>neodímio</t>
  </si>
  <si>
    <t>promethium</t>
  </si>
  <si>
    <t>Pm</t>
  </si>
  <si>
    <t>promécio</t>
  </si>
  <si>
    <t>samarium</t>
  </si>
  <si>
    <t>Sm</t>
  </si>
  <si>
    <t>1.3.3</t>
  </si>
  <si>
    <t>samário</t>
  </si>
  <si>
    <t>europium</t>
  </si>
  <si>
    <t>Eu</t>
  </si>
  <si>
    <t>európio</t>
  </si>
  <si>
    <t>gadolinium</t>
  </si>
  <si>
    <t>Gd</t>
  </si>
  <si>
    <t>gadolínio</t>
  </si>
  <si>
    <t>terbium</t>
  </si>
  <si>
    <t>Tb</t>
  </si>
  <si>
    <t>térbio</t>
  </si>
  <si>
    <t>dysprosium</t>
  </si>
  <si>
    <t>Dy</t>
  </si>
  <si>
    <t>disprósio</t>
  </si>
  <si>
    <t>holmium</t>
  </si>
  <si>
    <t>Ho</t>
  </si>
  <si>
    <t>hólmio</t>
  </si>
  <si>
    <t>erbium</t>
  </si>
  <si>
    <t>Er</t>
  </si>
  <si>
    <t>érmio</t>
  </si>
  <si>
    <t>thulium</t>
  </si>
  <si>
    <t>Tm</t>
  </si>
  <si>
    <t>túlio</t>
  </si>
  <si>
    <t>ytterbium</t>
  </si>
  <si>
    <t>Yb</t>
  </si>
  <si>
    <t>itérbio</t>
  </si>
  <si>
    <t>lutetium</t>
  </si>
  <si>
    <t>Lu</t>
  </si>
  <si>
    <t>lutécio</t>
  </si>
  <si>
    <t>hafnium</t>
  </si>
  <si>
    <t>Hf</t>
  </si>
  <si>
    <t>háfrio</t>
  </si>
  <si>
    <t>tantalum</t>
  </si>
  <si>
    <t>Ta</t>
  </si>
  <si>
    <t>tântalo</t>
  </si>
  <si>
    <t>tungsten</t>
  </si>
  <si>
    <t>W</t>
  </si>
  <si>
    <t>tungstênio</t>
  </si>
  <si>
    <t>rhenium</t>
  </si>
  <si>
    <t>Re</t>
  </si>
  <si>
    <t>rênio</t>
  </si>
  <si>
    <t>osmium</t>
  </si>
  <si>
    <t>Os</t>
  </si>
  <si>
    <t>ósmio</t>
  </si>
  <si>
    <t>iridium</t>
  </si>
  <si>
    <t>Ir</t>
  </si>
  <si>
    <t>irídio</t>
  </si>
  <si>
    <t>platinum</t>
  </si>
  <si>
    <t>Pt</t>
  </si>
  <si>
    <t>platina</t>
  </si>
  <si>
    <t>gold</t>
  </si>
  <si>
    <t>Au</t>
  </si>
  <si>
    <t>ouro</t>
  </si>
  <si>
    <t>mercury</t>
  </si>
  <si>
    <t>Hg</t>
  </si>
  <si>
    <t>mercúrio</t>
  </si>
  <si>
    <t>thallium</t>
  </si>
  <si>
    <t>Tl</t>
  </si>
  <si>
    <t>tálio</t>
  </si>
  <si>
    <t>lead</t>
  </si>
  <si>
    <t>Pb</t>
  </si>
  <si>
    <t>chumbo</t>
  </si>
  <si>
    <t>bismuth</t>
  </si>
  <si>
    <t>Bi</t>
  </si>
  <si>
    <t>bismuto</t>
  </si>
  <si>
    <t>polonium</t>
  </si>
  <si>
    <t>Po</t>
  </si>
  <si>
    <t>polônio</t>
  </si>
  <si>
    <t>astatine</t>
  </si>
  <si>
    <t>At</t>
  </si>
  <si>
    <t xml:space="preserve"> </t>
  </si>
  <si>
    <t>astato</t>
  </si>
  <si>
    <t>radon</t>
  </si>
  <si>
    <t>Rn</t>
  </si>
  <si>
    <t>radônio</t>
  </si>
  <si>
    <t>francium</t>
  </si>
  <si>
    <t>Fr</t>
  </si>
  <si>
    <t>frâncio</t>
  </si>
  <si>
    <t>radium</t>
  </si>
  <si>
    <t>Ra</t>
  </si>
  <si>
    <t>rádio</t>
  </si>
  <si>
    <t>actinium</t>
  </si>
  <si>
    <t>Ac</t>
  </si>
  <si>
    <t>actínio</t>
  </si>
  <si>
    <t>thorium</t>
  </si>
  <si>
    <t>Th</t>
  </si>
  <si>
    <t>tório</t>
  </si>
  <si>
    <t>protactinium</t>
  </si>
  <si>
    <t>Pa</t>
  </si>
  <si>
    <t>protactínio</t>
  </si>
  <si>
    <t>uranium</t>
  </si>
  <si>
    <t>U</t>
  </si>
  <si>
    <t>urânio</t>
  </si>
  <si>
    <t>neptunium</t>
  </si>
  <si>
    <t>Np</t>
  </si>
  <si>
    <t>netúnio</t>
  </si>
  <si>
    <t>plutonium</t>
  </si>
  <si>
    <t>Pu</t>
  </si>
  <si>
    <t>plutônio</t>
  </si>
  <si>
    <t>americium</t>
  </si>
  <si>
    <t>Am</t>
  </si>
  <si>
    <t>amerício</t>
  </si>
  <si>
    <t>curium</t>
  </si>
  <si>
    <t>Cm</t>
  </si>
  <si>
    <t>cúrio</t>
  </si>
  <si>
    <t>berkelium</t>
  </si>
  <si>
    <t>Bk</t>
  </si>
  <si>
    <t>berquélio</t>
  </si>
  <si>
    <t>californium</t>
  </si>
  <si>
    <t>Cf</t>
  </si>
  <si>
    <t>califórnio</t>
  </si>
  <si>
    <t>einsteinium</t>
  </si>
  <si>
    <t>Es</t>
  </si>
  <si>
    <t>einstênio</t>
  </si>
  <si>
    <t>fermium</t>
  </si>
  <si>
    <t>Fm</t>
  </si>
  <si>
    <t>férmio</t>
  </si>
  <si>
    <t>mendelevium</t>
  </si>
  <si>
    <t>Md</t>
  </si>
  <si>
    <t>mendelévio</t>
  </si>
  <si>
    <t>nobelium</t>
  </si>
  <si>
    <t>No</t>
  </si>
  <si>
    <t>nobélio</t>
  </si>
  <si>
    <t>lawrencium</t>
  </si>
  <si>
    <t>Lr</t>
  </si>
  <si>
    <t>lawrêncio</t>
  </si>
  <si>
    <t>rutherfordium</t>
  </si>
  <si>
    <t>Rf</t>
  </si>
  <si>
    <t>rutherfórdio</t>
  </si>
  <si>
    <t>hahnium</t>
  </si>
  <si>
    <t>Ha</t>
  </si>
  <si>
    <t>hâhnio</t>
  </si>
  <si>
    <t>seaborgium</t>
  </si>
  <si>
    <t>Sg</t>
  </si>
  <si>
    <t>hassium</t>
  </si>
  <si>
    <t>Hs</t>
  </si>
  <si>
    <t>bohrium</t>
  </si>
  <si>
    <t>Bh</t>
  </si>
  <si>
    <t>bóhrio</t>
  </si>
  <si>
    <t>meitnerium</t>
  </si>
  <si>
    <t>Mt</t>
  </si>
  <si>
    <t>meitnério</t>
  </si>
  <si>
    <t>ununnilium</t>
  </si>
  <si>
    <t>Uun</t>
  </si>
  <si>
    <t>Periodic Trends</t>
  </si>
  <si>
    <t>Property</t>
  </si>
  <si>
    <t>Period (Left to Right)</t>
  </si>
  <si>
    <t>Family (Top to Bottom)</t>
  </si>
  <si>
    <t>Metallic properties</t>
  </si>
  <si>
    <t>Decrease</t>
  </si>
  <si>
    <t>Increase</t>
  </si>
  <si>
    <t xml:space="preserve">Atomic # </t>
  </si>
  <si>
    <t>Atomic radius</t>
  </si>
  <si>
    <t>D (except noble gases)</t>
  </si>
  <si>
    <t>Positive oxidation #</t>
  </si>
  <si>
    <t>I (to carbon family)</t>
  </si>
  <si>
    <t>satys the same</t>
  </si>
  <si>
    <t>negative oxidation #</t>
  </si>
  <si>
    <t>D (from carbon family)</t>
  </si>
  <si>
    <t>stays the same</t>
  </si>
  <si>
    <t>ionic radius (for + &amp; -)</t>
  </si>
  <si>
    <t>D (+, to C)   I (-, from C)</t>
  </si>
  <si>
    <t>electronegativity</t>
  </si>
  <si>
    <t>I (Except noble gases)</t>
  </si>
  <si>
    <t>D</t>
  </si>
  <si>
    <t>first ionization energy</t>
  </si>
  <si>
    <t>ability to act as a reducing agent</t>
  </si>
  <si>
    <t>ability to act as an oxidizing agent</t>
  </si>
  <si>
    <t>ability to form acids</t>
  </si>
  <si>
    <t>ability to form bases</t>
  </si>
  <si>
    <t>activity of metals (*)</t>
  </si>
  <si>
    <t>activity of non-metals (*)(except noble gases)</t>
  </si>
  <si>
    <t>atomic weight</t>
  </si>
  <si>
    <t xml:space="preserve">  *  moving away from the staircase</t>
  </si>
  <si>
    <t>Ns</t>
  </si>
  <si>
    <t>(6)</t>
  </si>
  <si>
    <t>(7)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</si>
</sst>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.0"/>
  </numFmts>
  <fonts count="21">
    <font>
      <sz val="12"/>
      <name val="Helv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8"/>
      <name val="Times New Roman"/>
      <family val="0"/>
    </font>
    <font>
      <i/>
      <sz val="10"/>
      <name val="Times New Roman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8"/>
      <name val="Times New Roman"/>
      <family val="0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12"/>
      <name val="Helv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 quotePrefix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Continuous"/>
    </xf>
    <xf numFmtId="164" fontId="4" fillId="0" borderId="1" xfId="0" applyFont="1" applyBorder="1" applyAlignment="1" quotePrefix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 quotePrefix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 quotePrefix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8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 textRotation="90" wrapText="1"/>
      <protection/>
    </xf>
    <xf numFmtId="0" fontId="5" fillId="0" borderId="0" xfId="0" applyNumberFormat="1" applyFont="1" applyAlignment="1" applyProtection="1" quotePrefix="1">
      <alignment horizontal="center" vertical="center" textRotation="90" wrapText="1"/>
      <protection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>
      <alignment horizontal="centerContinuous" vertical="center"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 vertical="center" textRotation="90" wrapText="1"/>
    </xf>
    <xf numFmtId="0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4" fontId="15" fillId="0" borderId="0" xfId="0" applyFont="1" applyAlignment="1">
      <alignment/>
    </xf>
    <xf numFmtId="0" fontId="9" fillId="0" borderId="0" xfId="0" applyNumberFormat="1" applyFont="1" applyAlignment="1" applyProtection="1" quotePrefix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19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17" fillId="2" borderId="1" xfId="19" applyFont="1" applyFill="1" applyBorder="1" applyAlignment="1">
      <alignment horizontal="center" vertical="center"/>
      <protection/>
    </xf>
    <xf numFmtId="0" fontId="4" fillId="2" borderId="1" xfId="19" applyFill="1" applyBorder="1" applyAlignment="1">
      <alignment horizontal="center" vertical="center"/>
      <protection/>
    </xf>
    <xf numFmtId="0" fontId="4" fillId="2" borderId="7" xfId="19" applyFill="1" applyBorder="1" applyAlignment="1">
      <alignment horizontal="center" vertical="center"/>
      <protection/>
    </xf>
    <xf numFmtId="0" fontId="18" fillId="2" borderId="1" xfId="19" applyFont="1" applyFill="1" applyBorder="1" applyAlignment="1">
      <alignment horizontal="center" vertical="center"/>
      <protection/>
    </xf>
    <xf numFmtId="0" fontId="19" fillId="2" borderId="1" xfId="19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10" fillId="0" borderId="0" xfId="19" applyFont="1" applyAlignment="1" quotePrefix="1">
      <alignment horizontal="center" vertical="center"/>
      <protection/>
    </xf>
    <xf numFmtId="0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9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center" vertical="center" textRotation="90" wrapText="1"/>
    </xf>
    <xf numFmtId="11" fontId="6" fillId="0" borderId="0" xfId="0" applyNumberFormat="1" applyFont="1" applyAlignment="1" applyProtection="1">
      <alignment horizontal="center"/>
      <protection/>
    </xf>
    <xf numFmtId="11" fontId="6" fillId="0" borderId="0" xfId="0" applyNumberFormat="1" applyFont="1" applyAlignment="1">
      <alignment horizontal="center"/>
    </xf>
    <xf numFmtId="11" fontId="6" fillId="0" borderId="0" xfId="0" applyNumberFormat="1" applyFont="1" applyAlignment="1">
      <alignment/>
    </xf>
    <xf numFmtId="11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tandar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Melting Point vs Atomic Number</a:t>
            </a:r>
          </a:p>
        </c:rich>
      </c:tx>
      <c:layout>
        <c:manualLayout>
          <c:xMode val="factor"/>
          <c:yMode val="factor"/>
          <c:x val="-0.01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27"/>
          <c:w val="0.951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data!$B$3:$B$105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data!$E$3:$E$105</c:f>
              <c:numCache>
                <c:ptCount val="103"/>
                <c:pt idx="0">
                  <c:v>13.81</c:v>
                </c:pt>
                <c:pt idx="1">
                  <c:v>0.95</c:v>
                </c:pt>
                <c:pt idx="2">
                  <c:v>453.7</c:v>
                </c:pt>
                <c:pt idx="3">
                  <c:v>1560</c:v>
                </c:pt>
                <c:pt idx="4">
                  <c:v>2365</c:v>
                </c:pt>
                <c:pt idx="5">
                  <c:v>3825</c:v>
                </c:pt>
                <c:pt idx="6">
                  <c:v>63.15</c:v>
                </c:pt>
                <c:pt idx="7">
                  <c:v>54.8</c:v>
                </c:pt>
                <c:pt idx="8">
                  <c:v>53.55</c:v>
                </c:pt>
                <c:pt idx="9">
                  <c:v>24.55</c:v>
                </c:pt>
                <c:pt idx="10">
                  <c:v>371</c:v>
                </c:pt>
                <c:pt idx="11">
                  <c:v>922</c:v>
                </c:pt>
                <c:pt idx="12">
                  <c:v>933.5</c:v>
                </c:pt>
                <c:pt idx="13">
                  <c:v>1683</c:v>
                </c:pt>
                <c:pt idx="14">
                  <c:v>317.3</c:v>
                </c:pt>
                <c:pt idx="15">
                  <c:v>392.2</c:v>
                </c:pt>
                <c:pt idx="16">
                  <c:v>172.17</c:v>
                </c:pt>
                <c:pt idx="17">
                  <c:v>83.95</c:v>
                </c:pt>
                <c:pt idx="18">
                  <c:v>336.8</c:v>
                </c:pt>
                <c:pt idx="19">
                  <c:v>1112</c:v>
                </c:pt>
                <c:pt idx="20">
                  <c:v>1814</c:v>
                </c:pt>
                <c:pt idx="21">
                  <c:v>1935</c:v>
                </c:pt>
                <c:pt idx="22">
                  <c:v>2163</c:v>
                </c:pt>
                <c:pt idx="23">
                  <c:v>2130</c:v>
                </c:pt>
                <c:pt idx="24">
                  <c:v>1518</c:v>
                </c:pt>
                <c:pt idx="25">
                  <c:v>1808</c:v>
                </c:pt>
                <c:pt idx="26">
                  <c:v>1768</c:v>
                </c:pt>
                <c:pt idx="27">
                  <c:v>1726</c:v>
                </c:pt>
                <c:pt idx="28">
                  <c:v>1356.6</c:v>
                </c:pt>
                <c:pt idx="29">
                  <c:v>692.73</c:v>
                </c:pt>
                <c:pt idx="30">
                  <c:v>302.92</c:v>
                </c:pt>
                <c:pt idx="31">
                  <c:v>1211.5</c:v>
                </c:pt>
                <c:pt idx="32">
                  <c:v>1090</c:v>
                </c:pt>
                <c:pt idx="33">
                  <c:v>494</c:v>
                </c:pt>
                <c:pt idx="34">
                  <c:v>265.95</c:v>
                </c:pt>
                <c:pt idx="35">
                  <c:v>116</c:v>
                </c:pt>
                <c:pt idx="36">
                  <c:v>312.63</c:v>
                </c:pt>
                <c:pt idx="37">
                  <c:v>1042</c:v>
                </c:pt>
                <c:pt idx="38">
                  <c:v>1795</c:v>
                </c:pt>
                <c:pt idx="39">
                  <c:v>2128</c:v>
                </c:pt>
                <c:pt idx="40">
                  <c:v>2742</c:v>
                </c:pt>
                <c:pt idx="41">
                  <c:v>2896</c:v>
                </c:pt>
                <c:pt idx="42">
                  <c:v>2477</c:v>
                </c:pt>
                <c:pt idx="43">
                  <c:v>2610</c:v>
                </c:pt>
                <c:pt idx="44">
                  <c:v>2236</c:v>
                </c:pt>
                <c:pt idx="45">
                  <c:v>1825</c:v>
                </c:pt>
                <c:pt idx="46">
                  <c:v>1235.08</c:v>
                </c:pt>
                <c:pt idx="47">
                  <c:v>594.26</c:v>
                </c:pt>
                <c:pt idx="48">
                  <c:v>429.78</c:v>
                </c:pt>
                <c:pt idx="49">
                  <c:v>505.12</c:v>
                </c:pt>
                <c:pt idx="50">
                  <c:v>903.91</c:v>
                </c:pt>
                <c:pt idx="51">
                  <c:v>722.72</c:v>
                </c:pt>
                <c:pt idx="52">
                  <c:v>386.7</c:v>
                </c:pt>
                <c:pt idx="53">
                  <c:v>161.39</c:v>
                </c:pt>
                <c:pt idx="54">
                  <c:v>301.54</c:v>
                </c:pt>
                <c:pt idx="55">
                  <c:v>1002</c:v>
                </c:pt>
                <c:pt idx="56">
                  <c:v>1191</c:v>
                </c:pt>
                <c:pt idx="57">
                  <c:v>1071</c:v>
                </c:pt>
                <c:pt idx="58">
                  <c:v>1204</c:v>
                </c:pt>
                <c:pt idx="59">
                  <c:v>1294</c:v>
                </c:pt>
                <c:pt idx="60">
                  <c:v>1315</c:v>
                </c:pt>
                <c:pt idx="61">
                  <c:v>1347</c:v>
                </c:pt>
                <c:pt idx="62">
                  <c:v>1095</c:v>
                </c:pt>
                <c:pt idx="63">
                  <c:v>1585</c:v>
                </c:pt>
                <c:pt idx="64">
                  <c:v>1629</c:v>
                </c:pt>
                <c:pt idx="65">
                  <c:v>1685</c:v>
                </c:pt>
                <c:pt idx="66">
                  <c:v>1747</c:v>
                </c:pt>
                <c:pt idx="67">
                  <c:v>1802</c:v>
                </c:pt>
                <c:pt idx="68">
                  <c:v>1818</c:v>
                </c:pt>
                <c:pt idx="69">
                  <c:v>1092</c:v>
                </c:pt>
                <c:pt idx="70">
                  <c:v>1936</c:v>
                </c:pt>
                <c:pt idx="71">
                  <c:v>2504</c:v>
                </c:pt>
                <c:pt idx="72">
                  <c:v>3293</c:v>
                </c:pt>
                <c:pt idx="73">
                  <c:v>3695</c:v>
                </c:pt>
                <c:pt idx="74">
                  <c:v>3455</c:v>
                </c:pt>
                <c:pt idx="75">
                  <c:v>3300</c:v>
                </c:pt>
                <c:pt idx="76">
                  <c:v>2720</c:v>
                </c:pt>
                <c:pt idx="77">
                  <c:v>2042.1</c:v>
                </c:pt>
                <c:pt idx="78">
                  <c:v>1337.58</c:v>
                </c:pt>
                <c:pt idx="79">
                  <c:v>234.31</c:v>
                </c:pt>
                <c:pt idx="80">
                  <c:v>577</c:v>
                </c:pt>
                <c:pt idx="81">
                  <c:v>600.65</c:v>
                </c:pt>
                <c:pt idx="82">
                  <c:v>544.59</c:v>
                </c:pt>
                <c:pt idx="83">
                  <c:v>527</c:v>
                </c:pt>
                <c:pt idx="84">
                  <c:v>575</c:v>
                </c:pt>
                <c:pt idx="85">
                  <c:v>202</c:v>
                </c:pt>
                <c:pt idx="86">
                  <c:v>300</c:v>
                </c:pt>
                <c:pt idx="87">
                  <c:v>973</c:v>
                </c:pt>
                <c:pt idx="88">
                  <c:v>1324</c:v>
                </c:pt>
                <c:pt idx="89">
                  <c:v>2028</c:v>
                </c:pt>
                <c:pt idx="90">
                  <c:v>1845</c:v>
                </c:pt>
                <c:pt idx="91">
                  <c:v>1408</c:v>
                </c:pt>
                <c:pt idx="92">
                  <c:v>912</c:v>
                </c:pt>
                <c:pt idx="93">
                  <c:v>913</c:v>
                </c:pt>
                <c:pt idx="94">
                  <c:v>1449</c:v>
                </c:pt>
                <c:pt idx="95">
                  <c:v>1620</c:v>
                </c:pt>
                <c:pt idx="96">
                  <c:v>1620</c:v>
                </c:pt>
                <c:pt idx="97">
                  <c:v>1170</c:v>
                </c:pt>
                <c:pt idx="98">
                  <c:v>1170</c:v>
                </c:pt>
                <c:pt idx="99">
                  <c:v>1130</c:v>
                </c:pt>
                <c:pt idx="100">
                  <c:v>1800</c:v>
                </c:pt>
                <c:pt idx="101">
                  <c:v>1100</c:v>
                </c:pt>
                <c:pt idx="102">
                  <c:v>1900</c:v>
                </c:pt>
              </c:numCache>
            </c:numRef>
          </c:val>
          <c:smooth val="1"/>
        </c:ser>
        <c:axId val="27322848"/>
        <c:axId val="44579041"/>
      </c:line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79041"/>
        <c:crosses val="autoZero"/>
        <c:auto val="0"/>
        <c:lblOffset val="100"/>
        <c:noMultiLvlLbl val="0"/>
      </c:catAx>
      <c:valAx>
        <c:axId val="445790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228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0525"/>
          <c:w val="0.986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data!$N$2:$N$111</c:f>
              <c:numCache>
                <c:ptCount val="110"/>
                <c:pt idx="3">
                  <c:v>11.7</c:v>
                </c:pt>
                <c:pt idx="4">
                  <c:v>25</c:v>
                </c:pt>
                <c:pt idx="5">
                  <c:v>5E-12</c:v>
                </c:pt>
                <c:pt idx="6">
                  <c:v>0.07</c:v>
                </c:pt>
                <c:pt idx="11">
                  <c:v>20.1</c:v>
                </c:pt>
                <c:pt idx="12">
                  <c:v>22.4</c:v>
                </c:pt>
                <c:pt idx="13">
                  <c:v>37.7</c:v>
                </c:pt>
                <c:pt idx="14">
                  <c:v>0.0004</c:v>
                </c:pt>
                <c:pt idx="15">
                  <c:v>1E-16</c:v>
                </c:pt>
                <c:pt idx="16">
                  <c:v>5E-16</c:v>
                </c:pt>
                <c:pt idx="19">
                  <c:v>16.4</c:v>
                </c:pt>
                <c:pt idx="20">
                  <c:v>31.3</c:v>
                </c:pt>
                <c:pt idx="21">
                  <c:v>1.5</c:v>
                </c:pt>
                <c:pt idx="22">
                  <c:v>2.6</c:v>
                </c:pt>
                <c:pt idx="23">
                  <c:v>4</c:v>
                </c:pt>
                <c:pt idx="24">
                  <c:v>7.9</c:v>
                </c:pt>
                <c:pt idx="25">
                  <c:v>0.5</c:v>
                </c:pt>
                <c:pt idx="26">
                  <c:v>11.2</c:v>
                </c:pt>
                <c:pt idx="27">
                  <c:v>17.9</c:v>
                </c:pt>
                <c:pt idx="28">
                  <c:v>14.6</c:v>
                </c:pt>
                <c:pt idx="29">
                  <c:v>60.7</c:v>
                </c:pt>
                <c:pt idx="30">
                  <c:v>16.9</c:v>
                </c:pt>
                <c:pt idx="31">
                  <c:v>1.8</c:v>
                </c:pt>
                <c:pt idx="32">
                  <c:v>3E-06</c:v>
                </c:pt>
                <c:pt idx="33">
                  <c:v>3.8</c:v>
                </c:pt>
                <c:pt idx="34">
                  <c:v>8</c:v>
                </c:pt>
                <c:pt idx="35">
                  <c:v>1E-16</c:v>
                </c:pt>
                <c:pt idx="37">
                  <c:v>47.8</c:v>
                </c:pt>
                <c:pt idx="38">
                  <c:v>5</c:v>
                </c:pt>
                <c:pt idx="39">
                  <c:v>1.8</c:v>
                </c:pt>
                <c:pt idx="40">
                  <c:v>2.3</c:v>
                </c:pt>
                <c:pt idx="41">
                  <c:v>6.6</c:v>
                </c:pt>
                <c:pt idx="42">
                  <c:v>17.3</c:v>
                </c:pt>
                <c:pt idx="43">
                  <c:v>0.001</c:v>
                </c:pt>
                <c:pt idx="44">
                  <c:v>14.9</c:v>
                </c:pt>
                <c:pt idx="45">
                  <c:v>23</c:v>
                </c:pt>
                <c:pt idx="46">
                  <c:v>10</c:v>
                </c:pt>
                <c:pt idx="47">
                  <c:v>62.9</c:v>
                </c:pt>
                <c:pt idx="48">
                  <c:v>14.7</c:v>
                </c:pt>
                <c:pt idx="49">
                  <c:v>3.4</c:v>
                </c:pt>
                <c:pt idx="50">
                  <c:v>8.7</c:v>
                </c:pt>
                <c:pt idx="51">
                  <c:v>2.6</c:v>
                </c:pt>
                <c:pt idx="52">
                  <c:v>0.0002</c:v>
                </c:pt>
                <c:pt idx="53">
                  <c:v>1E-11</c:v>
                </c:pt>
                <c:pt idx="55">
                  <c:v>5.3</c:v>
                </c:pt>
                <c:pt idx="56">
                  <c:v>2.8</c:v>
                </c:pt>
                <c:pt idx="57">
                  <c:v>1.9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2</c:v>
                </c:pt>
                <c:pt idx="62">
                  <c:v>1.1</c:v>
                </c:pt>
                <c:pt idx="63">
                  <c:v>1.1</c:v>
                </c:pt>
                <c:pt idx="64">
                  <c:v>0.8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1.2</c:v>
                </c:pt>
                <c:pt idx="69">
                  <c:v>1.3</c:v>
                </c:pt>
                <c:pt idx="70">
                  <c:v>3.7</c:v>
                </c:pt>
                <c:pt idx="71">
                  <c:v>1.5</c:v>
                </c:pt>
                <c:pt idx="72">
                  <c:v>3.4</c:v>
                </c:pt>
                <c:pt idx="73">
                  <c:v>8.1</c:v>
                </c:pt>
                <c:pt idx="74">
                  <c:v>18.2</c:v>
                </c:pt>
                <c:pt idx="75">
                  <c:v>5.8</c:v>
                </c:pt>
                <c:pt idx="76">
                  <c:v>12.3</c:v>
                </c:pt>
                <c:pt idx="77">
                  <c:v>21.3</c:v>
                </c:pt>
                <c:pt idx="78">
                  <c:v>9.4</c:v>
                </c:pt>
                <c:pt idx="79">
                  <c:v>48.8</c:v>
                </c:pt>
                <c:pt idx="80">
                  <c:v>1</c:v>
                </c:pt>
                <c:pt idx="81">
                  <c:v>5.6</c:v>
                </c:pt>
                <c:pt idx="82">
                  <c:v>4.8</c:v>
                </c:pt>
                <c:pt idx="83">
                  <c:v>0.9</c:v>
                </c:pt>
                <c:pt idx="84">
                  <c:v>0.7</c:v>
                </c:pt>
                <c:pt idx="88">
                  <c:v>1</c:v>
                </c:pt>
                <c:pt idx="90">
                  <c:v>7.1</c:v>
                </c:pt>
                <c:pt idx="91">
                  <c:v>5.6</c:v>
                </c:pt>
                <c:pt idx="92">
                  <c:v>3.6</c:v>
                </c:pt>
                <c:pt idx="93">
                  <c:v>0.8</c:v>
                </c:pt>
                <c:pt idx="94">
                  <c:v>0.7</c:v>
                </c:pt>
                <c:pt idx="95">
                  <c:v>0.7</c:v>
                </c:pt>
              </c:numCache>
            </c:numRef>
          </c:val>
          <c:smooth val="1"/>
        </c:ser>
        <c:axId val="43280570"/>
        <c:axId val="53980811"/>
      </c:line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80811"/>
        <c:crosses val="autoZero"/>
        <c:auto val="0"/>
        <c:lblOffset val="100"/>
        <c:noMultiLvlLbl val="0"/>
      </c:catAx>
      <c:valAx>
        <c:axId val="53980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8057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"/>
          <c:w val="0.9777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data!$O$1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data!$O$2:$O$111</c:f>
              <c:numCache>
                <c:ptCount val="110"/>
                <c:pt idx="1">
                  <c:v>0.0585</c:v>
                </c:pt>
                <c:pt idx="2">
                  <c:v>0.021</c:v>
                </c:pt>
                <c:pt idx="3">
                  <c:v>3</c:v>
                </c:pt>
                <c:pt idx="4">
                  <c:v>11.71</c:v>
                </c:pt>
                <c:pt idx="5">
                  <c:v>22.6</c:v>
                </c:pt>
                <c:pt idx="7">
                  <c:v>0.36</c:v>
                </c:pt>
                <c:pt idx="8">
                  <c:v>0.222</c:v>
                </c:pt>
                <c:pt idx="9">
                  <c:v>0.26</c:v>
                </c:pt>
                <c:pt idx="10">
                  <c:v>0.34</c:v>
                </c:pt>
                <c:pt idx="11">
                  <c:v>2.601</c:v>
                </c:pt>
                <c:pt idx="12">
                  <c:v>8.95</c:v>
                </c:pt>
                <c:pt idx="13">
                  <c:v>10.7</c:v>
                </c:pt>
                <c:pt idx="14">
                  <c:v>50.2</c:v>
                </c:pt>
                <c:pt idx="15">
                  <c:v>0.63</c:v>
                </c:pt>
                <c:pt idx="16">
                  <c:v>1.73</c:v>
                </c:pt>
                <c:pt idx="17">
                  <c:v>3.21</c:v>
                </c:pt>
                <c:pt idx="18">
                  <c:v>1.188</c:v>
                </c:pt>
                <c:pt idx="19">
                  <c:v>2.33</c:v>
                </c:pt>
                <c:pt idx="20">
                  <c:v>8.53</c:v>
                </c:pt>
                <c:pt idx="21">
                  <c:v>16.11</c:v>
                </c:pt>
                <c:pt idx="22">
                  <c:v>18.6</c:v>
                </c:pt>
                <c:pt idx="23">
                  <c:v>22.8</c:v>
                </c:pt>
                <c:pt idx="24">
                  <c:v>20</c:v>
                </c:pt>
                <c:pt idx="25">
                  <c:v>14.64</c:v>
                </c:pt>
                <c:pt idx="26">
                  <c:v>13.8</c:v>
                </c:pt>
                <c:pt idx="27">
                  <c:v>16.19</c:v>
                </c:pt>
                <c:pt idx="28">
                  <c:v>17.2</c:v>
                </c:pt>
                <c:pt idx="29">
                  <c:v>13.14</c:v>
                </c:pt>
                <c:pt idx="30">
                  <c:v>7.38</c:v>
                </c:pt>
                <c:pt idx="31">
                  <c:v>5.59</c:v>
                </c:pt>
                <c:pt idx="32">
                  <c:v>31.8</c:v>
                </c:pt>
                <c:pt idx="33">
                  <c:v>27.7</c:v>
                </c:pt>
                <c:pt idx="34">
                  <c:v>5.54</c:v>
                </c:pt>
                <c:pt idx="35">
                  <c:v>5.286</c:v>
                </c:pt>
                <c:pt idx="36">
                  <c:v>1.638</c:v>
                </c:pt>
                <c:pt idx="37">
                  <c:v>2.34</c:v>
                </c:pt>
                <c:pt idx="38">
                  <c:v>8.2</c:v>
                </c:pt>
                <c:pt idx="39">
                  <c:v>17.15</c:v>
                </c:pt>
                <c:pt idx="40">
                  <c:v>21</c:v>
                </c:pt>
                <c:pt idx="41">
                  <c:v>26.9</c:v>
                </c:pt>
                <c:pt idx="42">
                  <c:v>36</c:v>
                </c:pt>
                <c:pt idx="43">
                  <c:v>23</c:v>
                </c:pt>
                <c:pt idx="44">
                  <c:v>25.52</c:v>
                </c:pt>
                <c:pt idx="45">
                  <c:v>21.76</c:v>
                </c:pt>
                <c:pt idx="46">
                  <c:v>16.74</c:v>
                </c:pt>
                <c:pt idx="47">
                  <c:v>11.3</c:v>
                </c:pt>
                <c:pt idx="48">
                  <c:v>6.07</c:v>
                </c:pt>
                <c:pt idx="49">
                  <c:v>3.26</c:v>
                </c:pt>
                <c:pt idx="50">
                  <c:v>7.2</c:v>
                </c:pt>
                <c:pt idx="51">
                  <c:v>19.83</c:v>
                </c:pt>
                <c:pt idx="52">
                  <c:v>17.49</c:v>
                </c:pt>
                <c:pt idx="53">
                  <c:v>7.76</c:v>
                </c:pt>
                <c:pt idx="54">
                  <c:v>2.3</c:v>
                </c:pt>
                <c:pt idx="55">
                  <c:v>2.092</c:v>
                </c:pt>
                <c:pt idx="56">
                  <c:v>8.01</c:v>
                </c:pt>
                <c:pt idx="57">
                  <c:v>11.3</c:v>
                </c:pt>
                <c:pt idx="58">
                  <c:v>9.2</c:v>
                </c:pt>
                <c:pt idx="59">
                  <c:v>10.04</c:v>
                </c:pt>
                <c:pt idx="60">
                  <c:v>10.88</c:v>
                </c:pt>
                <c:pt idx="62">
                  <c:v>11.09</c:v>
                </c:pt>
                <c:pt idx="63">
                  <c:v>10.46</c:v>
                </c:pt>
                <c:pt idx="64">
                  <c:v>15.48</c:v>
                </c:pt>
                <c:pt idx="66">
                  <c:v>11.06</c:v>
                </c:pt>
                <c:pt idx="67">
                  <c:v>17.15</c:v>
                </c:pt>
                <c:pt idx="68">
                  <c:v>17.15</c:v>
                </c:pt>
                <c:pt idx="69">
                  <c:v>16.8</c:v>
                </c:pt>
                <c:pt idx="70">
                  <c:v>7.7</c:v>
                </c:pt>
                <c:pt idx="71">
                  <c:v>18.6</c:v>
                </c:pt>
                <c:pt idx="72">
                  <c:v>21.76</c:v>
                </c:pt>
                <c:pt idx="73">
                  <c:v>36</c:v>
                </c:pt>
                <c:pt idx="74">
                  <c:v>35.4</c:v>
                </c:pt>
                <c:pt idx="75">
                  <c:v>33.05</c:v>
                </c:pt>
                <c:pt idx="76">
                  <c:v>29.29</c:v>
                </c:pt>
                <c:pt idx="77">
                  <c:v>26.36</c:v>
                </c:pt>
                <c:pt idx="78">
                  <c:v>19.66</c:v>
                </c:pt>
                <c:pt idx="79">
                  <c:v>12.36</c:v>
                </c:pt>
                <c:pt idx="80">
                  <c:v>2.292</c:v>
                </c:pt>
                <c:pt idx="81">
                  <c:v>4.27</c:v>
                </c:pt>
                <c:pt idx="82">
                  <c:v>4.77</c:v>
                </c:pt>
                <c:pt idx="83">
                  <c:v>11</c:v>
                </c:pt>
                <c:pt idx="84">
                  <c:v>13</c:v>
                </c:pt>
                <c:pt idx="85">
                  <c:v>12</c:v>
                </c:pt>
                <c:pt idx="86">
                  <c:v>2.9</c:v>
                </c:pt>
                <c:pt idx="87">
                  <c:v>2.1</c:v>
                </c:pt>
                <c:pt idx="88">
                  <c:v>8.37</c:v>
                </c:pt>
                <c:pt idx="90">
                  <c:v>15.65</c:v>
                </c:pt>
                <c:pt idx="92">
                  <c:v>15.48</c:v>
                </c:pt>
              </c:numCache>
            </c:numRef>
          </c:val>
          <c:smooth val="1"/>
        </c:ser>
        <c:axId val="16065252"/>
        <c:axId val="10369541"/>
      </c:line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69541"/>
        <c:crosses val="autoZero"/>
        <c:auto val="0"/>
        <c:lblOffset val="100"/>
        <c:noMultiLvlLbl val="0"/>
      </c:catAx>
      <c:valAx>
        <c:axId val="10369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6525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"/>
          <c:w val="0.986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data!$P$2:$P$111</c:f>
              <c:numCache>
                <c:ptCount val="110"/>
                <c:pt idx="1">
                  <c:v>0.4581</c:v>
                </c:pt>
                <c:pt idx="2">
                  <c:v>0.084</c:v>
                </c:pt>
                <c:pt idx="3">
                  <c:v>147.1</c:v>
                </c:pt>
                <c:pt idx="4">
                  <c:v>297</c:v>
                </c:pt>
                <c:pt idx="5">
                  <c:v>507.8</c:v>
                </c:pt>
                <c:pt idx="6">
                  <c:v>715</c:v>
                </c:pt>
                <c:pt idx="7">
                  <c:v>2.7928</c:v>
                </c:pt>
                <c:pt idx="8">
                  <c:v>3.4109</c:v>
                </c:pt>
                <c:pt idx="9">
                  <c:v>3.2698</c:v>
                </c:pt>
                <c:pt idx="10">
                  <c:v>1.77</c:v>
                </c:pt>
                <c:pt idx="11">
                  <c:v>98.01</c:v>
                </c:pt>
                <c:pt idx="12">
                  <c:v>127.6</c:v>
                </c:pt>
                <c:pt idx="13">
                  <c:v>290.8</c:v>
                </c:pt>
                <c:pt idx="14">
                  <c:v>359</c:v>
                </c:pt>
                <c:pt idx="15">
                  <c:v>12.4</c:v>
                </c:pt>
                <c:pt idx="16">
                  <c:v>10</c:v>
                </c:pt>
                <c:pt idx="17">
                  <c:v>10.2</c:v>
                </c:pt>
                <c:pt idx="18">
                  <c:v>6.506</c:v>
                </c:pt>
                <c:pt idx="19">
                  <c:v>76.9</c:v>
                </c:pt>
                <c:pt idx="20">
                  <c:v>154.67</c:v>
                </c:pt>
                <c:pt idx="21">
                  <c:v>304.8</c:v>
                </c:pt>
                <c:pt idx="22">
                  <c:v>425.2</c:v>
                </c:pt>
                <c:pt idx="23">
                  <c:v>446.7</c:v>
                </c:pt>
                <c:pt idx="24">
                  <c:v>339.5</c:v>
                </c:pt>
                <c:pt idx="25">
                  <c:v>219.74</c:v>
                </c:pt>
                <c:pt idx="26">
                  <c:v>349.5</c:v>
                </c:pt>
                <c:pt idx="27">
                  <c:v>373.3</c:v>
                </c:pt>
                <c:pt idx="28">
                  <c:v>377.5</c:v>
                </c:pt>
                <c:pt idx="29">
                  <c:v>300.5</c:v>
                </c:pt>
                <c:pt idx="30">
                  <c:v>115.3</c:v>
                </c:pt>
                <c:pt idx="31">
                  <c:v>256.06</c:v>
                </c:pt>
                <c:pt idx="32">
                  <c:v>334.3</c:v>
                </c:pt>
                <c:pt idx="33">
                  <c:v>32.4</c:v>
                </c:pt>
                <c:pt idx="34">
                  <c:v>26.32</c:v>
                </c:pt>
                <c:pt idx="35">
                  <c:v>14.725</c:v>
                </c:pt>
                <c:pt idx="36">
                  <c:v>9.029</c:v>
                </c:pt>
                <c:pt idx="37">
                  <c:v>69.2</c:v>
                </c:pt>
                <c:pt idx="38">
                  <c:v>136.9</c:v>
                </c:pt>
                <c:pt idx="39">
                  <c:v>393.3</c:v>
                </c:pt>
                <c:pt idx="40">
                  <c:v>590.5</c:v>
                </c:pt>
                <c:pt idx="41">
                  <c:v>690.1</c:v>
                </c:pt>
                <c:pt idx="42">
                  <c:v>590.4</c:v>
                </c:pt>
                <c:pt idx="43">
                  <c:v>502</c:v>
                </c:pt>
                <c:pt idx="44">
                  <c:v>567.77</c:v>
                </c:pt>
                <c:pt idx="45">
                  <c:v>495.39</c:v>
                </c:pt>
                <c:pt idx="46">
                  <c:v>393.3</c:v>
                </c:pt>
                <c:pt idx="47">
                  <c:v>250.63</c:v>
                </c:pt>
                <c:pt idx="48">
                  <c:v>99.87</c:v>
                </c:pt>
                <c:pt idx="49">
                  <c:v>226.335</c:v>
                </c:pt>
                <c:pt idx="50">
                  <c:v>290.37</c:v>
                </c:pt>
                <c:pt idx="51">
                  <c:v>67.97</c:v>
                </c:pt>
                <c:pt idx="52">
                  <c:v>50.63</c:v>
                </c:pt>
                <c:pt idx="53">
                  <c:v>20.9</c:v>
                </c:pt>
                <c:pt idx="54">
                  <c:v>12.64</c:v>
                </c:pt>
                <c:pt idx="55">
                  <c:v>67.74</c:v>
                </c:pt>
                <c:pt idx="56">
                  <c:v>140.2</c:v>
                </c:pt>
                <c:pt idx="57">
                  <c:v>399.57</c:v>
                </c:pt>
                <c:pt idx="58">
                  <c:v>313.8</c:v>
                </c:pt>
                <c:pt idx="59">
                  <c:v>332.63</c:v>
                </c:pt>
                <c:pt idx="60">
                  <c:v>283.68</c:v>
                </c:pt>
                <c:pt idx="62">
                  <c:v>191.63</c:v>
                </c:pt>
                <c:pt idx="63">
                  <c:v>175.73</c:v>
                </c:pt>
                <c:pt idx="64">
                  <c:v>311.71</c:v>
                </c:pt>
                <c:pt idx="66">
                  <c:v>230</c:v>
                </c:pt>
                <c:pt idx="67">
                  <c:v>251.04</c:v>
                </c:pt>
                <c:pt idx="68">
                  <c:v>292.88</c:v>
                </c:pt>
                <c:pt idx="69">
                  <c:v>191</c:v>
                </c:pt>
                <c:pt idx="70">
                  <c:v>128</c:v>
                </c:pt>
                <c:pt idx="71">
                  <c:v>355</c:v>
                </c:pt>
                <c:pt idx="72">
                  <c:v>661.07</c:v>
                </c:pt>
                <c:pt idx="73">
                  <c:v>737</c:v>
                </c:pt>
                <c:pt idx="74">
                  <c:v>422.58</c:v>
                </c:pt>
                <c:pt idx="75">
                  <c:v>707.1</c:v>
                </c:pt>
                <c:pt idx="76">
                  <c:v>627.6</c:v>
                </c:pt>
                <c:pt idx="77">
                  <c:v>563.58</c:v>
                </c:pt>
                <c:pt idx="78">
                  <c:v>510.45</c:v>
                </c:pt>
                <c:pt idx="79">
                  <c:v>324.43</c:v>
                </c:pt>
                <c:pt idx="80">
                  <c:v>59.3</c:v>
                </c:pt>
                <c:pt idx="81">
                  <c:v>162.09</c:v>
                </c:pt>
                <c:pt idx="82">
                  <c:v>177.9</c:v>
                </c:pt>
                <c:pt idx="83">
                  <c:v>179</c:v>
                </c:pt>
                <c:pt idx="84">
                  <c:v>120</c:v>
                </c:pt>
                <c:pt idx="85">
                  <c:v>30</c:v>
                </c:pt>
                <c:pt idx="86">
                  <c:v>16.4</c:v>
                </c:pt>
                <c:pt idx="87">
                  <c:v>64</c:v>
                </c:pt>
                <c:pt idx="88">
                  <c:v>136.82</c:v>
                </c:pt>
                <c:pt idx="90">
                  <c:v>543.92</c:v>
                </c:pt>
                <c:pt idx="92">
                  <c:v>422.58</c:v>
                </c:pt>
              </c:numCache>
            </c:numRef>
          </c:val>
          <c:smooth val="1"/>
        </c:ser>
        <c:axId val="26217006"/>
        <c:axId val="34626463"/>
      </c:lineChart>
      <c:catAx>
        <c:axId val="26217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26463"/>
        <c:crosses val="autoZero"/>
        <c:auto val="0"/>
        <c:lblOffset val="100"/>
        <c:noMultiLvlLbl val="0"/>
      </c:catAx>
      <c:valAx>
        <c:axId val="34626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1700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Electronegativity</a:t>
            </a:r>
          </a:p>
        </c:rich>
      </c:tx>
      <c:layout>
        <c:manualLayout>
          <c:xMode val="factor"/>
          <c:yMode val="factor"/>
          <c:x val="-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1975"/>
          <c:w val="0.98275"/>
          <c:h val="0.9432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xVal>
          <c:yVal>
            <c:numRef>
              <c:f>data!$Q$2:$Q$111</c:f>
              <c:numCache>
                <c:ptCount val="110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1"/>
        </c:ser>
        <c:axId val="43202712"/>
        <c:axId val="53280089"/>
      </c:scatterChart>
      <c:valAx>
        <c:axId val="43202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80089"/>
        <c:crosses val="autoZero"/>
        <c:crossBetween val="midCat"/>
        <c:dispUnits/>
      </c:valAx>
      <c:valAx>
        <c:axId val="53280089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4320271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8025"/>
          <c:w val="0.919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</c:ser>
        <c:axId val="9758754"/>
        <c:axId val="20719923"/>
      </c:barChart>
      <c:catAx>
        <c:axId val="9758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19923"/>
        <c:crosses val="autoZero"/>
        <c:auto val="0"/>
        <c:lblOffset val="100"/>
        <c:noMultiLvlLbl val="0"/>
      </c:catAx>
      <c:valAx>
        <c:axId val="207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587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4"/>
          <c:w val="0.917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  <c:smooth val="0"/>
        </c:ser>
        <c:marker val="1"/>
        <c:axId val="52261580"/>
        <c:axId val="592173"/>
      </c:lineChart>
      <c:catAx>
        <c:axId val="52261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73"/>
        <c:crossesAt val="1E-13"/>
        <c:auto val="0"/>
        <c:lblOffset val="100"/>
        <c:noMultiLvlLbl val="0"/>
      </c:catAx>
      <c:valAx>
        <c:axId val="5921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158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Years Since Discovery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19"/>
          <c:h val="0.6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data!$B$2:$B$112</c:f>
              <c:num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xVal>
          <c:yVal>
            <c:numRef>
              <c:f>data!$R$2:$R$112</c:f>
              <c:numCache>
                <c:ptCount val="111"/>
                <c:pt idx="1">
                  <c:v>232</c:v>
                </c:pt>
                <c:pt idx="2">
                  <c:v>130</c:v>
                </c:pt>
                <c:pt idx="3">
                  <c:v>181</c:v>
                </c:pt>
                <c:pt idx="4">
                  <c:v>200</c:v>
                </c:pt>
                <c:pt idx="5">
                  <c:v>190</c:v>
                </c:pt>
                <c:pt idx="6">
                  <c:v>0</c:v>
                </c:pt>
                <c:pt idx="7">
                  <c:v>226</c:v>
                </c:pt>
                <c:pt idx="8">
                  <c:v>224</c:v>
                </c:pt>
                <c:pt idx="9">
                  <c:v>132</c:v>
                </c:pt>
                <c:pt idx="10">
                  <c:v>100</c:v>
                </c:pt>
                <c:pt idx="11">
                  <c:v>191</c:v>
                </c:pt>
                <c:pt idx="12">
                  <c:v>190</c:v>
                </c:pt>
                <c:pt idx="13">
                  <c:v>173</c:v>
                </c:pt>
                <c:pt idx="14">
                  <c:v>174</c:v>
                </c:pt>
                <c:pt idx="15">
                  <c:v>329</c:v>
                </c:pt>
                <c:pt idx="16">
                  <c:v>0</c:v>
                </c:pt>
                <c:pt idx="17">
                  <c:v>224</c:v>
                </c:pt>
                <c:pt idx="18">
                  <c:v>104</c:v>
                </c:pt>
                <c:pt idx="19">
                  <c:v>191</c:v>
                </c:pt>
                <c:pt idx="20">
                  <c:v>190</c:v>
                </c:pt>
                <c:pt idx="21">
                  <c:v>128</c:v>
                </c:pt>
                <c:pt idx="22">
                  <c:v>207</c:v>
                </c:pt>
                <c:pt idx="23">
                  <c:v>168</c:v>
                </c:pt>
                <c:pt idx="24">
                  <c:v>201</c:v>
                </c:pt>
                <c:pt idx="25">
                  <c:v>224</c:v>
                </c:pt>
                <c:pt idx="26">
                  <c:v>0</c:v>
                </c:pt>
                <c:pt idx="27">
                  <c:v>263</c:v>
                </c:pt>
                <c:pt idx="28">
                  <c:v>247</c:v>
                </c:pt>
                <c:pt idx="29">
                  <c:v>0</c:v>
                </c:pt>
                <c:pt idx="30">
                  <c:v>748</c:v>
                </c:pt>
                <c:pt idx="31">
                  <c:v>123</c:v>
                </c:pt>
                <c:pt idx="32">
                  <c:v>112</c:v>
                </c:pt>
                <c:pt idx="33">
                  <c:v>748</c:v>
                </c:pt>
                <c:pt idx="34">
                  <c:v>181</c:v>
                </c:pt>
                <c:pt idx="35">
                  <c:v>172</c:v>
                </c:pt>
                <c:pt idx="36">
                  <c:v>100</c:v>
                </c:pt>
                <c:pt idx="37">
                  <c:v>137</c:v>
                </c:pt>
                <c:pt idx="38">
                  <c:v>208</c:v>
                </c:pt>
                <c:pt idx="39">
                  <c:v>170</c:v>
                </c:pt>
                <c:pt idx="40">
                  <c:v>209</c:v>
                </c:pt>
                <c:pt idx="41">
                  <c:v>134</c:v>
                </c:pt>
                <c:pt idx="42">
                  <c:v>216</c:v>
                </c:pt>
                <c:pt idx="43">
                  <c:v>61</c:v>
                </c:pt>
                <c:pt idx="44">
                  <c:v>154</c:v>
                </c:pt>
                <c:pt idx="45">
                  <c:v>195</c:v>
                </c:pt>
                <c:pt idx="46">
                  <c:v>195</c:v>
                </c:pt>
                <c:pt idx="47">
                  <c:v>0</c:v>
                </c:pt>
                <c:pt idx="48">
                  <c:v>181</c:v>
                </c:pt>
                <c:pt idx="49">
                  <c:v>74</c:v>
                </c:pt>
                <c:pt idx="50">
                  <c:v>0</c:v>
                </c:pt>
                <c:pt idx="51">
                  <c:v>398</c:v>
                </c:pt>
                <c:pt idx="52">
                  <c:v>216</c:v>
                </c:pt>
                <c:pt idx="53">
                  <c:v>187</c:v>
                </c:pt>
                <c:pt idx="54">
                  <c:v>100</c:v>
                </c:pt>
                <c:pt idx="55">
                  <c:v>138</c:v>
                </c:pt>
                <c:pt idx="56">
                  <c:v>190</c:v>
                </c:pt>
                <c:pt idx="57">
                  <c:v>159</c:v>
                </c:pt>
                <c:pt idx="58">
                  <c:v>195</c:v>
                </c:pt>
                <c:pt idx="59">
                  <c:v>113</c:v>
                </c:pt>
                <c:pt idx="60">
                  <c:v>157</c:v>
                </c:pt>
                <c:pt idx="61">
                  <c:v>57</c:v>
                </c:pt>
                <c:pt idx="62">
                  <c:v>119</c:v>
                </c:pt>
                <c:pt idx="63">
                  <c:v>97</c:v>
                </c:pt>
                <c:pt idx="64">
                  <c:v>112</c:v>
                </c:pt>
                <c:pt idx="65">
                  <c:v>155</c:v>
                </c:pt>
                <c:pt idx="66">
                  <c:v>112</c:v>
                </c:pt>
                <c:pt idx="67">
                  <c:v>120</c:v>
                </c:pt>
                <c:pt idx="68">
                  <c:v>156</c:v>
                </c:pt>
                <c:pt idx="69">
                  <c:v>119</c:v>
                </c:pt>
                <c:pt idx="70">
                  <c:v>91</c:v>
                </c:pt>
                <c:pt idx="71">
                  <c:v>91</c:v>
                </c:pt>
                <c:pt idx="72">
                  <c:v>75</c:v>
                </c:pt>
                <c:pt idx="73">
                  <c:v>196</c:v>
                </c:pt>
                <c:pt idx="74">
                  <c:v>215</c:v>
                </c:pt>
                <c:pt idx="75">
                  <c:v>73</c:v>
                </c:pt>
                <c:pt idx="76">
                  <c:v>195</c:v>
                </c:pt>
                <c:pt idx="77">
                  <c:v>195</c:v>
                </c:pt>
                <c:pt idx="78">
                  <c:v>263</c:v>
                </c:pt>
                <c:pt idx="79">
                  <c:v>0</c:v>
                </c:pt>
                <c:pt idx="80">
                  <c:v>0</c:v>
                </c:pt>
                <c:pt idx="81">
                  <c:v>137</c:v>
                </c:pt>
                <c:pt idx="82">
                  <c:v>0</c:v>
                </c:pt>
                <c:pt idx="83">
                  <c:v>245</c:v>
                </c:pt>
                <c:pt idx="84">
                  <c:v>100</c:v>
                </c:pt>
                <c:pt idx="85">
                  <c:v>58</c:v>
                </c:pt>
                <c:pt idx="86">
                  <c:v>98</c:v>
                </c:pt>
                <c:pt idx="87">
                  <c:v>59</c:v>
                </c:pt>
                <c:pt idx="88">
                  <c:v>100</c:v>
                </c:pt>
                <c:pt idx="89">
                  <c:v>99</c:v>
                </c:pt>
                <c:pt idx="90">
                  <c:v>170</c:v>
                </c:pt>
                <c:pt idx="91">
                  <c:v>85</c:v>
                </c:pt>
                <c:pt idx="92">
                  <c:v>209</c:v>
                </c:pt>
                <c:pt idx="93">
                  <c:v>58</c:v>
                </c:pt>
                <c:pt idx="94">
                  <c:v>58</c:v>
                </c:pt>
                <c:pt idx="95">
                  <c:v>54</c:v>
                </c:pt>
                <c:pt idx="96">
                  <c:v>54</c:v>
                </c:pt>
                <c:pt idx="97">
                  <c:v>49</c:v>
                </c:pt>
                <c:pt idx="98">
                  <c:v>48</c:v>
                </c:pt>
                <c:pt idx="99">
                  <c:v>46</c:v>
                </c:pt>
                <c:pt idx="100">
                  <c:v>46</c:v>
                </c:pt>
                <c:pt idx="101">
                  <c:v>43</c:v>
                </c:pt>
                <c:pt idx="102">
                  <c:v>40</c:v>
                </c:pt>
                <c:pt idx="103">
                  <c:v>37</c:v>
                </c:pt>
                <c:pt idx="104">
                  <c:v>34</c:v>
                </c:pt>
                <c:pt idx="105">
                  <c:v>31</c:v>
                </c:pt>
                <c:pt idx="106">
                  <c:v>24</c:v>
                </c:pt>
                <c:pt idx="107">
                  <c:v>22</c:v>
                </c:pt>
                <c:pt idx="109">
                  <c:v>16</c:v>
                </c:pt>
              </c:numCache>
            </c:numRef>
          </c:yVal>
          <c:smooth val="0"/>
        </c:ser>
        <c:axId val="5329558"/>
        <c:axId val="47966023"/>
      </c:scatterChart>
      <c:valAx>
        <c:axId val="53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66023"/>
        <c:crosses val="autoZero"/>
        <c:crossBetween val="midCat"/>
        <c:dispUnits/>
      </c:valAx>
      <c:valAx>
        <c:axId val="479660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955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Age vs. Name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97"/>
          <c:w val="0.871"/>
          <c:h val="0.6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data!$AC$1</c:f>
              <c:strCache>
                <c:ptCount val="1"/>
                <c:pt idx="0">
                  <c:v>length of name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strRef>
              <c:f>data!$R$2:$R$112</c:f>
              <c:strCache>
                <c:ptCount val="111"/>
                <c:pt idx="1">
                  <c:v>234</c:v>
                </c:pt>
                <c:pt idx="2">
                  <c:v>132</c:v>
                </c:pt>
                <c:pt idx="3">
                  <c:v>183</c:v>
                </c:pt>
                <c:pt idx="4">
                  <c:v>202</c:v>
                </c:pt>
                <c:pt idx="5">
                  <c:v>192</c:v>
                </c:pt>
                <c:pt idx="6">
                  <c:v>*</c:v>
                </c:pt>
                <c:pt idx="7">
                  <c:v>228</c:v>
                </c:pt>
                <c:pt idx="8">
                  <c:v>226</c:v>
                </c:pt>
                <c:pt idx="9">
                  <c:v>134</c:v>
                </c:pt>
                <c:pt idx="10">
                  <c:v>102</c:v>
                </c:pt>
                <c:pt idx="11">
                  <c:v>193</c:v>
                </c:pt>
                <c:pt idx="12">
                  <c:v>192</c:v>
                </c:pt>
                <c:pt idx="13">
                  <c:v>175</c:v>
                </c:pt>
                <c:pt idx="14">
                  <c:v>176</c:v>
                </c:pt>
                <c:pt idx="15">
                  <c:v>331</c:v>
                </c:pt>
                <c:pt idx="16">
                  <c:v>*</c:v>
                </c:pt>
                <c:pt idx="17">
                  <c:v>226</c:v>
                </c:pt>
                <c:pt idx="18">
                  <c:v>106</c:v>
                </c:pt>
                <c:pt idx="19">
                  <c:v>193</c:v>
                </c:pt>
                <c:pt idx="20">
                  <c:v>192</c:v>
                </c:pt>
                <c:pt idx="21">
                  <c:v>130</c:v>
                </c:pt>
                <c:pt idx="22">
                  <c:v>209</c:v>
                </c:pt>
                <c:pt idx="23">
                  <c:v>170</c:v>
                </c:pt>
                <c:pt idx="24">
                  <c:v>203</c:v>
                </c:pt>
                <c:pt idx="25">
                  <c:v>226</c:v>
                </c:pt>
                <c:pt idx="26">
                  <c:v>*</c:v>
                </c:pt>
                <c:pt idx="27">
                  <c:v>265</c:v>
                </c:pt>
                <c:pt idx="28">
                  <c:v>249</c:v>
                </c:pt>
                <c:pt idx="29">
                  <c:v>*</c:v>
                </c:pt>
                <c:pt idx="30">
                  <c:v>750</c:v>
                </c:pt>
                <c:pt idx="31">
                  <c:v>125</c:v>
                </c:pt>
                <c:pt idx="32">
                  <c:v>114</c:v>
                </c:pt>
                <c:pt idx="33">
                  <c:v>750</c:v>
                </c:pt>
                <c:pt idx="34">
                  <c:v>183</c:v>
                </c:pt>
                <c:pt idx="35">
                  <c:v>174</c:v>
                </c:pt>
                <c:pt idx="36">
                  <c:v>102</c:v>
                </c:pt>
                <c:pt idx="37">
                  <c:v>139</c:v>
                </c:pt>
                <c:pt idx="38">
                  <c:v>210</c:v>
                </c:pt>
                <c:pt idx="39">
                  <c:v>172</c:v>
                </c:pt>
                <c:pt idx="40">
                  <c:v>211</c:v>
                </c:pt>
                <c:pt idx="41">
                  <c:v>136</c:v>
                </c:pt>
                <c:pt idx="42">
                  <c:v>218</c:v>
                </c:pt>
                <c:pt idx="43">
                  <c:v>63</c:v>
                </c:pt>
                <c:pt idx="44">
                  <c:v>156</c:v>
                </c:pt>
                <c:pt idx="45">
                  <c:v>197</c:v>
                </c:pt>
                <c:pt idx="46">
                  <c:v>197</c:v>
                </c:pt>
                <c:pt idx="47">
                  <c:v>*</c:v>
                </c:pt>
                <c:pt idx="48">
                  <c:v>183</c:v>
                </c:pt>
                <c:pt idx="49">
                  <c:v>76</c:v>
                </c:pt>
                <c:pt idx="50">
                  <c:v>*</c:v>
                </c:pt>
                <c:pt idx="51">
                  <c:v>400</c:v>
                </c:pt>
                <c:pt idx="52">
                  <c:v>218</c:v>
                </c:pt>
                <c:pt idx="53">
                  <c:v>189</c:v>
                </c:pt>
                <c:pt idx="54">
                  <c:v>102</c:v>
                </c:pt>
                <c:pt idx="55">
                  <c:v>140</c:v>
                </c:pt>
                <c:pt idx="56">
                  <c:v>192</c:v>
                </c:pt>
                <c:pt idx="57">
                  <c:v>161</c:v>
                </c:pt>
                <c:pt idx="58">
                  <c:v>197</c:v>
                </c:pt>
                <c:pt idx="59">
                  <c:v>115</c:v>
                </c:pt>
                <c:pt idx="60">
                  <c:v>159</c:v>
                </c:pt>
                <c:pt idx="61">
                  <c:v>59</c:v>
                </c:pt>
                <c:pt idx="62">
                  <c:v>121</c:v>
                </c:pt>
                <c:pt idx="63">
                  <c:v>99</c:v>
                </c:pt>
                <c:pt idx="64">
                  <c:v>114</c:v>
                </c:pt>
                <c:pt idx="65">
                  <c:v>157</c:v>
                </c:pt>
                <c:pt idx="66">
                  <c:v>114</c:v>
                </c:pt>
                <c:pt idx="67">
                  <c:v>122</c:v>
                </c:pt>
                <c:pt idx="68">
                  <c:v>158</c:v>
                </c:pt>
                <c:pt idx="69">
                  <c:v>121</c:v>
                </c:pt>
                <c:pt idx="70">
                  <c:v>93</c:v>
                </c:pt>
                <c:pt idx="71">
                  <c:v>93</c:v>
                </c:pt>
                <c:pt idx="72">
                  <c:v>77</c:v>
                </c:pt>
                <c:pt idx="73">
                  <c:v>198</c:v>
                </c:pt>
                <c:pt idx="74">
                  <c:v>217</c:v>
                </c:pt>
                <c:pt idx="75">
                  <c:v>75</c:v>
                </c:pt>
                <c:pt idx="76">
                  <c:v>197</c:v>
                </c:pt>
                <c:pt idx="77">
                  <c:v>197</c:v>
                </c:pt>
                <c:pt idx="78">
                  <c:v>265</c:v>
                </c:pt>
                <c:pt idx="79">
                  <c:v>*</c:v>
                </c:pt>
                <c:pt idx="80">
                  <c:v>*</c:v>
                </c:pt>
                <c:pt idx="81">
                  <c:v>139</c:v>
                </c:pt>
                <c:pt idx="82">
                  <c:v>*</c:v>
                </c:pt>
                <c:pt idx="83">
                  <c:v>247</c:v>
                </c:pt>
                <c:pt idx="84">
                  <c:v>102</c:v>
                </c:pt>
                <c:pt idx="85">
                  <c:v>60</c:v>
                </c:pt>
                <c:pt idx="86">
                  <c:v>100</c:v>
                </c:pt>
                <c:pt idx="87">
                  <c:v>61</c:v>
                </c:pt>
                <c:pt idx="88">
                  <c:v>102</c:v>
                </c:pt>
                <c:pt idx="89">
                  <c:v>101</c:v>
                </c:pt>
                <c:pt idx="90">
                  <c:v>172</c:v>
                </c:pt>
                <c:pt idx="91">
                  <c:v>87</c:v>
                </c:pt>
                <c:pt idx="92">
                  <c:v>211</c:v>
                </c:pt>
                <c:pt idx="93">
                  <c:v>60</c:v>
                </c:pt>
                <c:pt idx="94">
                  <c:v>60</c:v>
                </c:pt>
                <c:pt idx="95">
                  <c:v>56</c:v>
                </c:pt>
                <c:pt idx="96">
                  <c:v>56</c:v>
                </c:pt>
                <c:pt idx="97">
                  <c:v>51</c:v>
                </c:pt>
                <c:pt idx="98">
                  <c:v>50</c:v>
                </c:pt>
                <c:pt idx="99">
                  <c:v>48</c:v>
                </c:pt>
                <c:pt idx="100">
                  <c:v>48</c:v>
                </c:pt>
                <c:pt idx="101">
                  <c:v>45</c:v>
                </c:pt>
                <c:pt idx="102">
                  <c:v>42</c:v>
                </c:pt>
                <c:pt idx="103">
                  <c:v>39</c:v>
                </c:pt>
                <c:pt idx="104">
                  <c:v>36</c:v>
                </c:pt>
                <c:pt idx="105">
                  <c:v>33</c:v>
                </c:pt>
                <c:pt idx="106">
                  <c:v>26</c:v>
                </c:pt>
                <c:pt idx="107">
                  <c:v>24</c:v>
                </c:pt>
                <c:pt idx="109">
                  <c:v>18</c:v>
                </c:pt>
              </c:strCache>
            </c:strRef>
          </c:xVal>
          <c:yVal>
            <c:numRef>
              <c:f>data!$AC$2:$AC$112</c:f>
              <c:numCache>
                <c:ptCount val="111"/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3</c:v>
                </c:pt>
                <c:pt idx="51">
                  <c:v>8</c:v>
                </c:pt>
                <c:pt idx="52">
                  <c:v>9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9</c:v>
                </c:pt>
                <c:pt idx="58">
                  <c:v>6</c:v>
                </c:pt>
                <c:pt idx="59">
                  <c:v>12</c:v>
                </c:pt>
                <c:pt idx="60">
                  <c:v>9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7</c:v>
                </c:pt>
                <c:pt idx="66">
                  <c:v>10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4</c:v>
                </c:pt>
                <c:pt idx="80">
                  <c:v>7</c:v>
                </c:pt>
                <c:pt idx="81">
                  <c:v>8</c:v>
                </c:pt>
                <c:pt idx="82">
                  <c:v>4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5</c:v>
                </c:pt>
                <c:pt idx="87">
                  <c:v>8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12</c:v>
                </c:pt>
                <c:pt idx="92">
                  <c:v>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6</c:v>
                </c:pt>
                <c:pt idx="97">
                  <c:v>9</c:v>
                </c:pt>
                <c:pt idx="98">
                  <c:v>11</c:v>
                </c:pt>
                <c:pt idx="99">
                  <c:v>11</c:v>
                </c:pt>
                <c:pt idx="100">
                  <c:v>7</c:v>
                </c:pt>
                <c:pt idx="101">
                  <c:v>11</c:v>
                </c:pt>
                <c:pt idx="102">
                  <c:v>8</c:v>
                </c:pt>
                <c:pt idx="103">
                  <c:v>10</c:v>
                </c:pt>
                <c:pt idx="104">
                  <c:v>13</c:v>
                </c:pt>
                <c:pt idx="105">
                  <c:v>7</c:v>
                </c:pt>
                <c:pt idx="106">
                  <c:v>10</c:v>
                </c:pt>
                <c:pt idx="107">
                  <c:v>7</c:v>
                </c:pt>
                <c:pt idx="108">
                  <c:v>7</c:v>
                </c:pt>
                <c:pt idx="109">
                  <c:v>10</c:v>
                </c:pt>
                <c:pt idx="110">
                  <c:v>10</c:v>
                </c:pt>
              </c:numCache>
            </c:numRef>
          </c:yVal>
          <c:smooth val="0"/>
        </c:ser>
        <c:axId val="29041024"/>
        <c:axId val="60042625"/>
      </c:scatterChart>
      <c:valAx>
        <c:axId val="290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 since discovery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42625"/>
        <c:crosses val="autoZero"/>
        <c:crossBetween val="midCat"/>
        <c:dispUnits/>
      </c:valAx>
      <c:valAx>
        <c:axId val="6004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length of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4102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9875"/>
          <c:w val="0.8677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data!$H$2:$H$125</c:f>
              <c:numCache>
                <c:ptCount val="124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xVal>
          <c:yVal>
            <c:numRef>
              <c:f>data!$Q$2:$Q$125</c:f>
              <c:numCache>
                <c:ptCount val="124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0"/>
        </c:ser>
        <c:axId val="3512714"/>
        <c:axId val="31614427"/>
      </c:scatterChart>
      <c:valAx>
        <c:axId val="3512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most common ox.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14427"/>
        <c:crosses val="autoZero"/>
        <c:crossBetween val="midCat"/>
        <c:dispUnits/>
      </c:valAx>
      <c:valAx>
        <c:axId val="31614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electronegativity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2714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Boiling Point vs Atomic Number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64"/>
          <c:w val="0.91525"/>
          <c:h val="0.93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data!$B$3:$B$97</c:f>
              <c:numCache>
                <c:ptCount val="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</c:numCache>
            </c:numRef>
          </c:cat>
          <c:val>
            <c:numRef>
              <c:f>data!$D$3:$D$97</c:f>
              <c:numCache>
                <c:ptCount val="95"/>
                <c:pt idx="0">
                  <c:v>20.28</c:v>
                </c:pt>
                <c:pt idx="1">
                  <c:v>4.216</c:v>
                </c:pt>
                <c:pt idx="2">
                  <c:v>1615</c:v>
                </c:pt>
                <c:pt idx="3">
                  <c:v>3243</c:v>
                </c:pt>
                <c:pt idx="4">
                  <c:v>4275</c:v>
                </c:pt>
                <c:pt idx="5">
                  <c:v>5100</c:v>
                </c:pt>
                <c:pt idx="6">
                  <c:v>77.344</c:v>
                </c:pt>
                <c:pt idx="7">
                  <c:v>90.188</c:v>
                </c:pt>
                <c:pt idx="8">
                  <c:v>85</c:v>
                </c:pt>
                <c:pt idx="9">
                  <c:v>27.1</c:v>
                </c:pt>
                <c:pt idx="10">
                  <c:v>1156</c:v>
                </c:pt>
                <c:pt idx="11">
                  <c:v>1380</c:v>
                </c:pt>
                <c:pt idx="12">
                  <c:v>2740</c:v>
                </c:pt>
                <c:pt idx="13">
                  <c:v>2630</c:v>
                </c:pt>
                <c:pt idx="14">
                  <c:v>553</c:v>
                </c:pt>
                <c:pt idx="15">
                  <c:v>717.82</c:v>
                </c:pt>
                <c:pt idx="16">
                  <c:v>239.18</c:v>
                </c:pt>
                <c:pt idx="17">
                  <c:v>87.45</c:v>
                </c:pt>
                <c:pt idx="18">
                  <c:v>1033</c:v>
                </c:pt>
                <c:pt idx="19">
                  <c:v>1757</c:v>
                </c:pt>
                <c:pt idx="20">
                  <c:v>3109</c:v>
                </c:pt>
                <c:pt idx="21">
                  <c:v>3560</c:v>
                </c:pt>
                <c:pt idx="22">
                  <c:v>3650</c:v>
                </c:pt>
                <c:pt idx="23">
                  <c:v>2945</c:v>
                </c:pt>
                <c:pt idx="24">
                  <c:v>2235</c:v>
                </c:pt>
                <c:pt idx="25">
                  <c:v>3023</c:v>
                </c:pt>
                <c:pt idx="26">
                  <c:v>3143</c:v>
                </c:pt>
                <c:pt idx="27">
                  <c:v>3005</c:v>
                </c:pt>
                <c:pt idx="28">
                  <c:v>2840</c:v>
                </c:pt>
                <c:pt idx="29">
                  <c:v>1180</c:v>
                </c:pt>
                <c:pt idx="30">
                  <c:v>2478</c:v>
                </c:pt>
                <c:pt idx="31">
                  <c:v>3107</c:v>
                </c:pt>
                <c:pt idx="32">
                  <c:v>876</c:v>
                </c:pt>
                <c:pt idx="33">
                  <c:v>958</c:v>
                </c:pt>
                <c:pt idx="34">
                  <c:v>331.85</c:v>
                </c:pt>
                <c:pt idx="35">
                  <c:v>120.85</c:v>
                </c:pt>
                <c:pt idx="36">
                  <c:v>961</c:v>
                </c:pt>
                <c:pt idx="37">
                  <c:v>1655</c:v>
                </c:pt>
                <c:pt idx="38">
                  <c:v>3611</c:v>
                </c:pt>
                <c:pt idx="39">
                  <c:v>4682</c:v>
                </c:pt>
                <c:pt idx="40">
                  <c:v>5015</c:v>
                </c:pt>
                <c:pt idx="41">
                  <c:v>4912</c:v>
                </c:pt>
                <c:pt idx="42">
                  <c:v>4538</c:v>
                </c:pt>
                <c:pt idx="43">
                  <c:v>4425</c:v>
                </c:pt>
                <c:pt idx="44">
                  <c:v>3970</c:v>
                </c:pt>
                <c:pt idx="45">
                  <c:v>3240</c:v>
                </c:pt>
                <c:pt idx="46">
                  <c:v>2436</c:v>
                </c:pt>
                <c:pt idx="47">
                  <c:v>1040</c:v>
                </c:pt>
                <c:pt idx="48">
                  <c:v>2350</c:v>
                </c:pt>
                <c:pt idx="49">
                  <c:v>2876</c:v>
                </c:pt>
                <c:pt idx="50">
                  <c:v>1860</c:v>
                </c:pt>
                <c:pt idx="51">
                  <c:v>1261</c:v>
                </c:pt>
                <c:pt idx="52">
                  <c:v>457.5</c:v>
                </c:pt>
                <c:pt idx="53">
                  <c:v>165.1</c:v>
                </c:pt>
                <c:pt idx="54">
                  <c:v>944</c:v>
                </c:pt>
                <c:pt idx="55">
                  <c:v>2078</c:v>
                </c:pt>
                <c:pt idx="56">
                  <c:v>3737</c:v>
                </c:pt>
                <c:pt idx="57">
                  <c:v>3715</c:v>
                </c:pt>
                <c:pt idx="58">
                  <c:v>3785</c:v>
                </c:pt>
                <c:pt idx="59">
                  <c:v>3347</c:v>
                </c:pt>
                <c:pt idx="60">
                  <c:v>3273</c:v>
                </c:pt>
                <c:pt idx="61">
                  <c:v>2067</c:v>
                </c:pt>
                <c:pt idx="62">
                  <c:v>1800</c:v>
                </c:pt>
                <c:pt idx="63">
                  <c:v>3545</c:v>
                </c:pt>
                <c:pt idx="64">
                  <c:v>3500</c:v>
                </c:pt>
                <c:pt idx="65">
                  <c:v>2840</c:v>
                </c:pt>
                <c:pt idx="66">
                  <c:v>2968</c:v>
                </c:pt>
                <c:pt idx="67">
                  <c:v>3140</c:v>
                </c:pt>
                <c:pt idx="68">
                  <c:v>2223</c:v>
                </c:pt>
                <c:pt idx="69">
                  <c:v>1469</c:v>
                </c:pt>
                <c:pt idx="70">
                  <c:v>3668</c:v>
                </c:pt>
                <c:pt idx="71">
                  <c:v>4875</c:v>
                </c:pt>
                <c:pt idx="72">
                  <c:v>5730</c:v>
                </c:pt>
                <c:pt idx="73">
                  <c:v>5825</c:v>
                </c:pt>
                <c:pt idx="74">
                  <c:v>5870</c:v>
                </c:pt>
                <c:pt idx="75">
                  <c:v>5300</c:v>
                </c:pt>
                <c:pt idx="76">
                  <c:v>4700</c:v>
                </c:pt>
                <c:pt idx="77">
                  <c:v>4100</c:v>
                </c:pt>
                <c:pt idx="78">
                  <c:v>3130</c:v>
                </c:pt>
                <c:pt idx="79">
                  <c:v>629.88</c:v>
                </c:pt>
                <c:pt idx="80">
                  <c:v>1746</c:v>
                </c:pt>
                <c:pt idx="81">
                  <c:v>2023</c:v>
                </c:pt>
                <c:pt idx="82">
                  <c:v>1837</c:v>
                </c:pt>
                <c:pt idx="83">
                  <c:v>1235</c:v>
                </c:pt>
                <c:pt idx="84">
                  <c:v>610</c:v>
                </c:pt>
                <c:pt idx="85">
                  <c:v>211.4</c:v>
                </c:pt>
                <c:pt idx="86">
                  <c:v>950</c:v>
                </c:pt>
                <c:pt idx="87">
                  <c:v>1413</c:v>
                </c:pt>
                <c:pt idx="88">
                  <c:v>3470</c:v>
                </c:pt>
                <c:pt idx="89">
                  <c:v>5060</c:v>
                </c:pt>
                <c:pt idx="90">
                  <c:v>4300</c:v>
                </c:pt>
                <c:pt idx="91">
                  <c:v>4407</c:v>
                </c:pt>
                <c:pt idx="92">
                  <c:v>4175</c:v>
                </c:pt>
                <c:pt idx="93">
                  <c:v>3505</c:v>
                </c:pt>
                <c:pt idx="94">
                  <c:v>2880</c:v>
                </c:pt>
              </c:numCache>
            </c:numRef>
          </c:val>
          <c:smooth val="1"/>
        </c:ser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32539"/>
        <c:crosses val="autoZero"/>
        <c:auto val="0"/>
        <c:lblOffset val="100"/>
        <c:noMultiLvlLbl val="0"/>
      </c:catAx>
      <c:valAx>
        <c:axId val="541325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65667050"/>
        <c:crossesAt val="1"/>
        <c:crossBetween val="midCat"/>
        <c:dispUnits/>
        <c:majorUnit val="1000"/>
        <c:minorUnit val="2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Density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93"/>
          <c:w val="0.8797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data!$F$2:$F$111</c:f>
              <c:numCache>
                <c:ptCount val="110"/>
                <c:pt idx="1">
                  <c:v>0.0899</c:v>
                </c:pt>
                <c:pt idx="2">
                  <c:v>0.1785</c:v>
                </c:pt>
                <c:pt idx="3">
                  <c:v>0.53</c:v>
                </c:pt>
                <c:pt idx="4">
                  <c:v>1.85</c:v>
                </c:pt>
                <c:pt idx="5">
                  <c:v>2.34</c:v>
                </c:pt>
                <c:pt idx="6">
                  <c:v>2.26</c:v>
                </c:pt>
                <c:pt idx="7">
                  <c:v>1.251</c:v>
                </c:pt>
                <c:pt idx="8">
                  <c:v>1.429</c:v>
                </c:pt>
                <c:pt idx="9">
                  <c:v>1.696</c:v>
                </c:pt>
                <c:pt idx="10">
                  <c:v>0.9</c:v>
                </c:pt>
                <c:pt idx="11">
                  <c:v>0.97</c:v>
                </c:pt>
                <c:pt idx="12">
                  <c:v>1.74</c:v>
                </c:pt>
                <c:pt idx="13">
                  <c:v>2.7</c:v>
                </c:pt>
                <c:pt idx="14">
                  <c:v>2.33</c:v>
                </c:pt>
                <c:pt idx="15">
                  <c:v>1.82</c:v>
                </c:pt>
                <c:pt idx="16">
                  <c:v>2.07</c:v>
                </c:pt>
                <c:pt idx="17">
                  <c:v>3.214</c:v>
                </c:pt>
                <c:pt idx="18">
                  <c:v>1.784</c:v>
                </c:pt>
                <c:pt idx="19">
                  <c:v>0.86</c:v>
                </c:pt>
                <c:pt idx="20">
                  <c:v>1.55</c:v>
                </c:pt>
                <c:pt idx="21">
                  <c:v>2.99</c:v>
                </c:pt>
                <c:pt idx="22">
                  <c:v>4.54</c:v>
                </c:pt>
                <c:pt idx="23">
                  <c:v>6.11</c:v>
                </c:pt>
                <c:pt idx="24">
                  <c:v>7.19</c:v>
                </c:pt>
                <c:pt idx="25">
                  <c:v>7.44</c:v>
                </c:pt>
                <c:pt idx="26">
                  <c:v>7.874</c:v>
                </c:pt>
                <c:pt idx="27">
                  <c:v>8.9</c:v>
                </c:pt>
                <c:pt idx="28">
                  <c:v>8.9</c:v>
                </c:pt>
                <c:pt idx="29">
                  <c:v>8.96</c:v>
                </c:pt>
                <c:pt idx="30">
                  <c:v>7.13</c:v>
                </c:pt>
                <c:pt idx="31">
                  <c:v>5.91</c:v>
                </c:pt>
                <c:pt idx="32">
                  <c:v>5.32</c:v>
                </c:pt>
                <c:pt idx="33">
                  <c:v>5.78</c:v>
                </c:pt>
                <c:pt idx="34">
                  <c:v>4.79</c:v>
                </c:pt>
                <c:pt idx="35">
                  <c:v>3.12</c:v>
                </c:pt>
                <c:pt idx="36">
                  <c:v>3.75</c:v>
                </c:pt>
                <c:pt idx="37">
                  <c:v>1.532</c:v>
                </c:pt>
                <c:pt idx="38">
                  <c:v>2.54</c:v>
                </c:pt>
                <c:pt idx="39">
                  <c:v>4.47</c:v>
                </c:pt>
                <c:pt idx="40">
                  <c:v>6.51</c:v>
                </c:pt>
                <c:pt idx="41">
                  <c:v>8.57</c:v>
                </c:pt>
                <c:pt idx="42">
                  <c:v>10.22</c:v>
                </c:pt>
                <c:pt idx="43">
                  <c:v>11.5</c:v>
                </c:pt>
                <c:pt idx="44">
                  <c:v>12.37</c:v>
                </c:pt>
                <c:pt idx="45">
                  <c:v>12.41</c:v>
                </c:pt>
                <c:pt idx="46">
                  <c:v>12</c:v>
                </c:pt>
                <c:pt idx="47">
                  <c:v>10.5</c:v>
                </c:pt>
                <c:pt idx="48">
                  <c:v>8.65</c:v>
                </c:pt>
                <c:pt idx="49">
                  <c:v>7.31</c:v>
                </c:pt>
                <c:pt idx="50">
                  <c:v>7.31</c:v>
                </c:pt>
                <c:pt idx="51">
                  <c:v>6.69</c:v>
                </c:pt>
                <c:pt idx="52">
                  <c:v>6.24</c:v>
                </c:pt>
                <c:pt idx="53">
                  <c:v>4.93</c:v>
                </c:pt>
                <c:pt idx="54">
                  <c:v>5.9</c:v>
                </c:pt>
                <c:pt idx="55">
                  <c:v>1.87</c:v>
                </c:pt>
                <c:pt idx="56">
                  <c:v>3.59</c:v>
                </c:pt>
                <c:pt idx="57">
                  <c:v>6.15</c:v>
                </c:pt>
                <c:pt idx="58">
                  <c:v>6.77</c:v>
                </c:pt>
                <c:pt idx="59">
                  <c:v>6.77</c:v>
                </c:pt>
                <c:pt idx="60">
                  <c:v>7.01</c:v>
                </c:pt>
                <c:pt idx="61">
                  <c:v>7.22</c:v>
                </c:pt>
                <c:pt idx="62">
                  <c:v>2.75</c:v>
                </c:pt>
                <c:pt idx="63">
                  <c:v>5.24</c:v>
                </c:pt>
                <c:pt idx="64">
                  <c:v>7.9</c:v>
                </c:pt>
                <c:pt idx="65">
                  <c:v>8.23</c:v>
                </c:pt>
                <c:pt idx="66">
                  <c:v>8.55</c:v>
                </c:pt>
                <c:pt idx="67">
                  <c:v>8.8</c:v>
                </c:pt>
                <c:pt idx="68">
                  <c:v>9.07</c:v>
                </c:pt>
                <c:pt idx="69">
                  <c:v>9.32</c:v>
                </c:pt>
                <c:pt idx="70">
                  <c:v>6.97</c:v>
                </c:pt>
                <c:pt idx="71">
                  <c:v>9.84</c:v>
                </c:pt>
                <c:pt idx="72">
                  <c:v>13.31</c:v>
                </c:pt>
                <c:pt idx="73">
                  <c:v>16.65</c:v>
                </c:pt>
                <c:pt idx="74">
                  <c:v>19.3</c:v>
                </c:pt>
                <c:pt idx="75">
                  <c:v>21</c:v>
                </c:pt>
                <c:pt idx="76">
                  <c:v>22.6</c:v>
                </c:pt>
                <c:pt idx="77">
                  <c:v>22.6</c:v>
                </c:pt>
                <c:pt idx="78">
                  <c:v>21.45</c:v>
                </c:pt>
                <c:pt idx="79">
                  <c:v>19.3</c:v>
                </c:pt>
                <c:pt idx="80">
                  <c:v>13.55</c:v>
                </c:pt>
                <c:pt idx="81">
                  <c:v>11.85</c:v>
                </c:pt>
                <c:pt idx="82">
                  <c:v>11.35</c:v>
                </c:pt>
                <c:pt idx="83">
                  <c:v>9.75</c:v>
                </c:pt>
                <c:pt idx="84">
                  <c:v>9.3</c:v>
                </c:pt>
                <c:pt idx="86">
                  <c:v>9.73</c:v>
                </c:pt>
                <c:pt idx="88">
                  <c:v>5</c:v>
                </c:pt>
                <c:pt idx="89">
                  <c:v>10.07</c:v>
                </c:pt>
                <c:pt idx="90">
                  <c:v>11.72</c:v>
                </c:pt>
                <c:pt idx="91">
                  <c:v>15.4</c:v>
                </c:pt>
                <c:pt idx="92">
                  <c:v>18.95</c:v>
                </c:pt>
                <c:pt idx="93">
                  <c:v>20.2</c:v>
                </c:pt>
                <c:pt idx="94">
                  <c:v>19.84</c:v>
                </c:pt>
                <c:pt idx="95">
                  <c:v>13.7</c:v>
                </c:pt>
                <c:pt idx="96">
                  <c:v>13.5</c:v>
                </c:pt>
                <c:pt idx="97">
                  <c:v>14</c:v>
                </c:pt>
              </c:numCache>
            </c:numRef>
          </c:val>
          <c:smooth val="1"/>
        </c:ser>
        <c:axId val="17430804"/>
        <c:axId val="22659509"/>
      </c:line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59509"/>
        <c:crosses val="autoZero"/>
        <c:auto val="0"/>
        <c:lblOffset val="100"/>
        <c:noMultiLvlLbl val="0"/>
      </c:catAx>
      <c:valAx>
        <c:axId val="22659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308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atomic weight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23"/>
          <c:w val="0.966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data!$G$2:$G$111</c:f>
              <c:numCache>
                <c:ptCount val="110"/>
                <c:pt idx="1">
                  <c:v>1.00797</c:v>
                </c:pt>
                <c:pt idx="2">
                  <c:v>4.0026</c:v>
                </c:pt>
                <c:pt idx="3">
                  <c:v>6.941</c:v>
                </c:pt>
                <c:pt idx="4">
                  <c:v>9.01218</c:v>
                </c:pt>
                <c:pt idx="5">
                  <c:v>10.811</c:v>
                </c:pt>
                <c:pt idx="6">
                  <c:v>12.011</c:v>
                </c:pt>
                <c:pt idx="7">
                  <c:v>14.0067</c:v>
                </c:pt>
                <c:pt idx="8">
                  <c:v>15.9994</c:v>
                </c:pt>
                <c:pt idx="9">
                  <c:v>18.9984</c:v>
                </c:pt>
                <c:pt idx="10">
                  <c:v>20.1797</c:v>
                </c:pt>
                <c:pt idx="11">
                  <c:v>22.98977</c:v>
                </c:pt>
                <c:pt idx="12">
                  <c:v>24.305</c:v>
                </c:pt>
                <c:pt idx="13">
                  <c:v>26.98154</c:v>
                </c:pt>
                <c:pt idx="14">
                  <c:v>28.0855</c:v>
                </c:pt>
                <c:pt idx="15">
                  <c:v>30.97376</c:v>
                </c:pt>
                <c:pt idx="16">
                  <c:v>32.066</c:v>
                </c:pt>
                <c:pt idx="17">
                  <c:v>35.4527</c:v>
                </c:pt>
                <c:pt idx="18">
                  <c:v>39.948</c:v>
                </c:pt>
                <c:pt idx="19">
                  <c:v>39.0983</c:v>
                </c:pt>
                <c:pt idx="20">
                  <c:v>40.078</c:v>
                </c:pt>
                <c:pt idx="21">
                  <c:v>44.9559</c:v>
                </c:pt>
                <c:pt idx="22">
                  <c:v>47.88</c:v>
                </c:pt>
                <c:pt idx="23">
                  <c:v>50.9415</c:v>
                </c:pt>
                <c:pt idx="24">
                  <c:v>51.996</c:v>
                </c:pt>
                <c:pt idx="25">
                  <c:v>54.938</c:v>
                </c:pt>
                <c:pt idx="26">
                  <c:v>55.847</c:v>
                </c:pt>
                <c:pt idx="27">
                  <c:v>58.9332</c:v>
                </c:pt>
                <c:pt idx="28">
                  <c:v>58.6934</c:v>
                </c:pt>
                <c:pt idx="29">
                  <c:v>63.456</c:v>
                </c:pt>
                <c:pt idx="30">
                  <c:v>65.39</c:v>
                </c:pt>
                <c:pt idx="31">
                  <c:v>69.723</c:v>
                </c:pt>
                <c:pt idx="32">
                  <c:v>72.61</c:v>
                </c:pt>
                <c:pt idx="33">
                  <c:v>74.9216</c:v>
                </c:pt>
                <c:pt idx="34">
                  <c:v>78.96</c:v>
                </c:pt>
                <c:pt idx="35">
                  <c:v>79.904</c:v>
                </c:pt>
                <c:pt idx="36">
                  <c:v>83.8</c:v>
                </c:pt>
                <c:pt idx="37">
                  <c:v>85.4678</c:v>
                </c:pt>
                <c:pt idx="38">
                  <c:v>87.62</c:v>
                </c:pt>
                <c:pt idx="39">
                  <c:v>88.9059</c:v>
                </c:pt>
                <c:pt idx="40">
                  <c:v>91.224</c:v>
                </c:pt>
                <c:pt idx="41">
                  <c:v>92.9064</c:v>
                </c:pt>
                <c:pt idx="42">
                  <c:v>95.94</c:v>
                </c:pt>
                <c:pt idx="43">
                  <c:v>98</c:v>
                </c:pt>
                <c:pt idx="44">
                  <c:v>101.07</c:v>
                </c:pt>
                <c:pt idx="45">
                  <c:v>102.9055</c:v>
                </c:pt>
                <c:pt idx="46">
                  <c:v>106.42</c:v>
                </c:pt>
                <c:pt idx="47">
                  <c:v>107.868</c:v>
                </c:pt>
                <c:pt idx="48">
                  <c:v>112.41</c:v>
                </c:pt>
                <c:pt idx="49">
                  <c:v>114.82</c:v>
                </c:pt>
                <c:pt idx="50">
                  <c:v>118.71</c:v>
                </c:pt>
                <c:pt idx="51">
                  <c:v>121.757</c:v>
                </c:pt>
                <c:pt idx="52">
                  <c:v>127.6</c:v>
                </c:pt>
                <c:pt idx="53">
                  <c:v>126.9045</c:v>
                </c:pt>
                <c:pt idx="54">
                  <c:v>131.29</c:v>
                </c:pt>
                <c:pt idx="55">
                  <c:v>132.9054</c:v>
                </c:pt>
                <c:pt idx="56">
                  <c:v>137.33</c:v>
                </c:pt>
                <c:pt idx="57">
                  <c:v>138.9055</c:v>
                </c:pt>
                <c:pt idx="58">
                  <c:v>140.12</c:v>
                </c:pt>
                <c:pt idx="59">
                  <c:v>140.9077</c:v>
                </c:pt>
                <c:pt idx="60">
                  <c:v>144.24</c:v>
                </c:pt>
                <c:pt idx="61">
                  <c:v>145</c:v>
                </c:pt>
                <c:pt idx="62">
                  <c:v>150.36</c:v>
                </c:pt>
                <c:pt idx="63">
                  <c:v>151.965</c:v>
                </c:pt>
                <c:pt idx="64">
                  <c:v>157.25</c:v>
                </c:pt>
                <c:pt idx="65">
                  <c:v>158.9253</c:v>
                </c:pt>
                <c:pt idx="66">
                  <c:v>162.5</c:v>
                </c:pt>
                <c:pt idx="67">
                  <c:v>164.9303</c:v>
                </c:pt>
                <c:pt idx="68">
                  <c:v>167.26</c:v>
                </c:pt>
                <c:pt idx="69">
                  <c:v>168.9342</c:v>
                </c:pt>
                <c:pt idx="70">
                  <c:v>173.04</c:v>
                </c:pt>
                <c:pt idx="71">
                  <c:v>174.967</c:v>
                </c:pt>
                <c:pt idx="72">
                  <c:v>178.49</c:v>
                </c:pt>
                <c:pt idx="73">
                  <c:v>180.9479</c:v>
                </c:pt>
                <c:pt idx="74">
                  <c:v>183.85</c:v>
                </c:pt>
                <c:pt idx="75">
                  <c:v>186.207</c:v>
                </c:pt>
                <c:pt idx="76">
                  <c:v>190.2</c:v>
                </c:pt>
                <c:pt idx="77">
                  <c:v>192.22</c:v>
                </c:pt>
                <c:pt idx="78">
                  <c:v>195.08</c:v>
                </c:pt>
                <c:pt idx="79">
                  <c:v>196.9665</c:v>
                </c:pt>
                <c:pt idx="80">
                  <c:v>200.59</c:v>
                </c:pt>
                <c:pt idx="81">
                  <c:v>204.383</c:v>
                </c:pt>
                <c:pt idx="82">
                  <c:v>207.2</c:v>
                </c:pt>
                <c:pt idx="83">
                  <c:v>208.9804</c:v>
                </c:pt>
                <c:pt idx="84">
                  <c:v>209</c:v>
                </c:pt>
                <c:pt idx="85">
                  <c:v>210</c:v>
                </c:pt>
                <c:pt idx="86">
                  <c:v>222</c:v>
                </c:pt>
                <c:pt idx="87">
                  <c:v>223</c:v>
                </c:pt>
                <c:pt idx="88">
                  <c:v>226.0254</c:v>
                </c:pt>
                <c:pt idx="89">
                  <c:v>227</c:v>
                </c:pt>
                <c:pt idx="90">
                  <c:v>232.0381</c:v>
                </c:pt>
                <c:pt idx="91">
                  <c:v>231.0359</c:v>
                </c:pt>
                <c:pt idx="92">
                  <c:v>238.029</c:v>
                </c:pt>
                <c:pt idx="93">
                  <c:v>237.0482</c:v>
                </c:pt>
                <c:pt idx="94">
                  <c:v>244</c:v>
                </c:pt>
                <c:pt idx="95">
                  <c:v>243</c:v>
                </c:pt>
                <c:pt idx="96">
                  <c:v>247</c:v>
                </c:pt>
                <c:pt idx="97">
                  <c:v>247</c:v>
                </c:pt>
                <c:pt idx="98">
                  <c:v>251</c:v>
                </c:pt>
                <c:pt idx="99">
                  <c:v>252</c:v>
                </c:pt>
                <c:pt idx="100">
                  <c:v>257</c:v>
                </c:pt>
                <c:pt idx="101">
                  <c:v>258</c:v>
                </c:pt>
                <c:pt idx="102">
                  <c:v>259</c:v>
                </c:pt>
                <c:pt idx="103">
                  <c:v>260</c:v>
                </c:pt>
                <c:pt idx="104">
                  <c:v>261</c:v>
                </c:pt>
                <c:pt idx="105">
                  <c:v>262</c:v>
                </c:pt>
                <c:pt idx="106">
                  <c:v>263</c:v>
                </c:pt>
                <c:pt idx="107">
                  <c:v>262</c:v>
                </c:pt>
                <c:pt idx="108">
                  <c:v>265</c:v>
                </c:pt>
                <c:pt idx="109">
                  <c:v>266</c:v>
                </c:pt>
              </c:numCache>
            </c:numRef>
          </c:val>
          <c:smooth val="1"/>
        </c:ser>
        <c:axId val="2608990"/>
        <c:axId val="23480911"/>
      </c:lineChart>
      <c:catAx>
        <c:axId val="260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80911"/>
        <c:crosses val="autoZero"/>
        <c:auto val="0"/>
        <c:lblOffset val="100"/>
        <c:noMultiLvlLbl val="0"/>
      </c:catAx>
      <c:valAx>
        <c:axId val="2348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amu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89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most stable oxidation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3775"/>
          <c:w val="0.9812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data!$H$2:$H$111</c:f>
              <c:numCache>
                <c:ptCount val="110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val>
          <c:smooth val="1"/>
        </c:ser>
        <c:axId val="10001608"/>
        <c:axId val="22905609"/>
      </c:line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05609"/>
        <c:crosses val="autoZero"/>
        <c:auto val="0"/>
        <c:lblOffset val="100"/>
        <c:noMultiLvlLbl val="0"/>
      </c:catAx>
      <c:valAx>
        <c:axId val="22905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016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29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data!$I$2:$I$111</c:f>
              <c:numCache>
                <c:ptCount val="110"/>
                <c:pt idx="1">
                  <c:v>0.32</c:v>
                </c:pt>
                <c:pt idx="2">
                  <c:v>0.93</c:v>
                </c:pt>
                <c:pt idx="3">
                  <c:v>1.23</c:v>
                </c:pt>
                <c:pt idx="4">
                  <c:v>0.9</c:v>
                </c:pt>
                <c:pt idx="5">
                  <c:v>0.82</c:v>
                </c:pt>
                <c:pt idx="6">
                  <c:v>0.77</c:v>
                </c:pt>
                <c:pt idx="7">
                  <c:v>0.75</c:v>
                </c:pt>
                <c:pt idx="8">
                  <c:v>0.73</c:v>
                </c:pt>
                <c:pt idx="9">
                  <c:v>0.72</c:v>
                </c:pt>
                <c:pt idx="10">
                  <c:v>0.71</c:v>
                </c:pt>
                <c:pt idx="11">
                  <c:v>1.54</c:v>
                </c:pt>
                <c:pt idx="12">
                  <c:v>1.36</c:v>
                </c:pt>
                <c:pt idx="13">
                  <c:v>1.18</c:v>
                </c:pt>
                <c:pt idx="14">
                  <c:v>1.11</c:v>
                </c:pt>
                <c:pt idx="15">
                  <c:v>1.06</c:v>
                </c:pt>
                <c:pt idx="16">
                  <c:v>1.02</c:v>
                </c:pt>
                <c:pt idx="17">
                  <c:v>0.99</c:v>
                </c:pt>
                <c:pt idx="18">
                  <c:v>0.98</c:v>
                </c:pt>
                <c:pt idx="19">
                  <c:v>2.03</c:v>
                </c:pt>
                <c:pt idx="20">
                  <c:v>1.74</c:v>
                </c:pt>
                <c:pt idx="21">
                  <c:v>1.44</c:v>
                </c:pt>
                <c:pt idx="22">
                  <c:v>1.32</c:v>
                </c:pt>
                <c:pt idx="23">
                  <c:v>1.22</c:v>
                </c:pt>
                <c:pt idx="24">
                  <c:v>1.18</c:v>
                </c:pt>
                <c:pt idx="25">
                  <c:v>1.17</c:v>
                </c:pt>
                <c:pt idx="26">
                  <c:v>1.17</c:v>
                </c:pt>
                <c:pt idx="27">
                  <c:v>1.16</c:v>
                </c:pt>
                <c:pt idx="28">
                  <c:v>1.15</c:v>
                </c:pt>
                <c:pt idx="29">
                  <c:v>1.17</c:v>
                </c:pt>
                <c:pt idx="30">
                  <c:v>1.25</c:v>
                </c:pt>
                <c:pt idx="31">
                  <c:v>1.26</c:v>
                </c:pt>
                <c:pt idx="32">
                  <c:v>1.22</c:v>
                </c:pt>
                <c:pt idx="33">
                  <c:v>1.2</c:v>
                </c:pt>
                <c:pt idx="34">
                  <c:v>1.16</c:v>
                </c:pt>
                <c:pt idx="35">
                  <c:v>1.14</c:v>
                </c:pt>
                <c:pt idx="36">
                  <c:v>1.89</c:v>
                </c:pt>
                <c:pt idx="37">
                  <c:v>2.16</c:v>
                </c:pt>
                <c:pt idx="38">
                  <c:v>1.91</c:v>
                </c:pt>
                <c:pt idx="39">
                  <c:v>1.62</c:v>
                </c:pt>
                <c:pt idx="40">
                  <c:v>1.45</c:v>
                </c:pt>
                <c:pt idx="41">
                  <c:v>1.34</c:v>
                </c:pt>
                <c:pt idx="42">
                  <c:v>1.3</c:v>
                </c:pt>
                <c:pt idx="43">
                  <c:v>1.27</c:v>
                </c:pt>
                <c:pt idx="44">
                  <c:v>1.25</c:v>
                </c:pt>
                <c:pt idx="45">
                  <c:v>1.25</c:v>
                </c:pt>
                <c:pt idx="46">
                  <c:v>1.28</c:v>
                </c:pt>
                <c:pt idx="47">
                  <c:v>1.34</c:v>
                </c:pt>
                <c:pt idx="48">
                  <c:v>1.41</c:v>
                </c:pt>
                <c:pt idx="49">
                  <c:v>1.44</c:v>
                </c:pt>
                <c:pt idx="50">
                  <c:v>1.41</c:v>
                </c:pt>
                <c:pt idx="51">
                  <c:v>1.4</c:v>
                </c:pt>
                <c:pt idx="52">
                  <c:v>1.36</c:v>
                </c:pt>
                <c:pt idx="53">
                  <c:v>1.33</c:v>
                </c:pt>
                <c:pt idx="54">
                  <c:v>1.31</c:v>
                </c:pt>
                <c:pt idx="55">
                  <c:v>2.35</c:v>
                </c:pt>
                <c:pt idx="56">
                  <c:v>1.98</c:v>
                </c:pt>
                <c:pt idx="57">
                  <c:v>1.25</c:v>
                </c:pt>
                <c:pt idx="58">
                  <c:v>1.65</c:v>
                </c:pt>
                <c:pt idx="59">
                  <c:v>1.65</c:v>
                </c:pt>
                <c:pt idx="60">
                  <c:v>1.64</c:v>
                </c:pt>
                <c:pt idx="61">
                  <c:v>1.63</c:v>
                </c:pt>
                <c:pt idx="62">
                  <c:v>1.62</c:v>
                </c:pt>
                <c:pt idx="63">
                  <c:v>1.85</c:v>
                </c:pt>
                <c:pt idx="64">
                  <c:v>1.61</c:v>
                </c:pt>
                <c:pt idx="65">
                  <c:v>1.59</c:v>
                </c:pt>
                <c:pt idx="66">
                  <c:v>1.59</c:v>
                </c:pt>
                <c:pt idx="67">
                  <c:v>1.58</c:v>
                </c:pt>
                <c:pt idx="68">
                  <c:v>1.57</c:v>
                </c:pt>
                <c:pt idx="69">
                  <c:v>1.56</c:v>
                </c:pt>
                <c:pt idx="70">
                  <c:v>1.7</c:v>
                </c:pt>
                <c:pt idx="71">
                  <c:v>1.56</c:v>
                </c:pt>
                <c:pt idx="72">
                  <c:v>1.44</c:v>
                </c:pt>
                <c:pt idx="73">
                  <c:v>1.34</c:v>
                </c:pt>
                <c:pt idx="74">
                  <c:v>1.3</c:v>
                </c:pt>
                <c:pt idx="75">
                  <c:v>1.28</c:v>
                </c:pt>
                <c:pt idx="76">
                  <c:v>1.26</c:v>
                </c:pt>
                <c:pt idx="77">
                  <c:v>1.27</c:v>
                </c:pt>
                <c:pt idx="78">
                  <c:v>1.3</c:v>
                </c:pt>
                <c:pt idx="79">
                  <c:v>1.34</c:v>
                </c:pt>
                <c:pt idx="80">
                  <c:v>1.49</c:v>
                </c:pt>
                <c:pt idx="81">
                  <c:v>1.48</c:v>
                </c:pt>
                <c:pt idx="82">
                  <c:v>1.47</c:v>
                </c:pt>
                <c:pt idx="83">
                  <c:v>1.46</c:v>
                </c:pt>
                <c:pt idx="84">
                  <c:v>1.53</c:v>
                </c:pt>
                <c:pt idx="85">
                  <c:v>1.47</c:v>
                </c:pt>
                <c:pt idx="90">
                  <c:v>1.65</c:v>
                </c:pt>
                <c:pt idx="92">
                  <c:v>1.42</c:v>
                </c:pt>
                <c:pt idx="94">
                  <c:v>1.08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data!$J$2:$J$111</c:f>
              <c:numCache>
                <c:ptCount val="110"/>
                <c:pt idx="1">
                  <c:v>0.79</c:v>
                </c:pt>
                <c:pt idx="2">
                  <c:v>0.49</c:v>
                </c:pt>
                <c:pt idx="3">
                  <c:v>2.05</c:v>
                </c:pt>
                <c:pt idx="4">
                  <c:v>1.4</c:v>
                </c:pt>
                <c:pt idx="5">
                  <c:v>1.17</c:v>
                </c:pt>
                <c:pt idx="6">
                  <c:v>0.91</c:v>
                </c:pt>
                <c:pt idx="7">
                  <c:v>0.75</c:v>
                </c:pt>
                <c:pt idx="8">
                  <c:v>0.65</c:v>
                </c:pt>
                <c:pt idx="9">
                  <c:v>0.57</c:v>
                </c:pt>
                <c:pt idx="10">
                  <c:v>0.51</c:v>
                </c:pt>
                <c:pt idx="11">
                  <c:v>2.23</c:v>
                </c:pt>
                <c:pt idx="12">
                  <c:v>1.72</c:v>
                </c:pt>
                <c:pt idx="13">
                  <c:v>1.62</c:v>
                </c:pt>
                <c:pt idx="14">
                  <c:v>1.44</c:v>
                </c:pt>
                <c:pt idx="15">
                  <c:v>1.23</c:v>
                </c:pt>
                <c:pt idx="16">
                  <c:v>1.09</c:v>
                </c:pt>
                <c:pt idx="17">
                  <c:v>0.97</c:v>
                </c:pt>
                <c:pt idx="18">
                  <c:v>0.88</c:v>
                </c:pt>
                <c:pt idx="19">
                  <c:v>2.77</c:v>
                </c:pt>
                <c:pt idx="20">
                  <c:v>2.23</c:v>
                </c:pt>
                <c:pt idx="21">
                  <c:v>2.09</c:v>
                </c:pt>
                <c:pt idx="22">
                  <c:v>2</c:v>
                </c:pt>
                <c:pt idx="23">
                  <c:v>1.92</c:v>
                </c:pt>
                <c:pt idx="24">
                  <c:v>1.85</c:v>
                </c:pt>
                <c:pt idx="25">
                  <c:v>1.79</c:v>
                </c:pt>
                <c:pt idx="26">
                  <c:v>1.72</c:v>
                </c:pt>
                <c:pt idx="27">
                  <c:v>1.67</c:v>
                </c:pt>
                <c:pt idx="28">
                  <c:v>1.62</c:v>
                </c:pt>
                <c:pt idx="29">
                  <c:v>1.57</c:v>
                </c:pt>
                <c:pt idx="30">
                  <c:v>1.53</c:v>
                </c:pt>
                <c:pt idx="31">
                  <c:v>1.81</c:v>
                </c:pt>
                <c:pt idx="32">
                  <c:v>1.52</c:v>
                </c:pt>
                <c:pt idx="33">
                  <c:v>1.33</c:v>
                </c:pt>
                <c:pt idx="34">
                  <c:v>1.22</c:v>
                </c:pt>
                <c:pt idx="35">
                  <c:v>1.12</c:v>
                </c:pt>
                <c:pt idx="36">
                  <c:v>1.03</c:v>
                </c:pt>
                <c:pt idx="37">
                  <c:v>2.98</c:v>
                </c:pt>
                <c:pt idx="38">
                  <c:v>2.45</c:v>
                </c:pt>
                <c:pt idx="39">
                  <c:v>2.27</c:v>
                </c:pt>
                <c:pt idx="40">
                  <c:v>2.16</c:v>
                </c:pt>
                <c:pt idx="41">
                  <c:v>2.08</c:v>
                </c:pt>
                <c:pt idx="42">
                  <c:v>2.01</c:v>
                </c:pt>
                <c:pt idx="43">
                  <c:v>1.95</c:v>
                </c:pt>
                <c:pt idx="44">
                  <c:v>1.89</c:v>
                </c:pt>
                <c:pt idx="45">
                  <c:v>1.83</c:v>
                </c:pt>
                <c:pt idx="46">
                  <c:v>1.79</c:v>
                </c:pt>
                <c:pt idx="47">
                  <c:v>1.75</c:v>
                </c:pt>
                <c:pt idx="48">
                  <c:v>1.71</c:v>
                </c:pt>
                <c:pt idx="49">
                  <c:v>2</c:v>
                </c:pt>
                <c:pt idx="50">
                  <c:v>1.72</c:v>
                </c:pt>
                <c:pt idx="51">
                  <c:v>1.53</c:v>
                </c:pt>
                <c:pt idx="52">
                  <c:v>1.42</c:v>
                </c:pt>
                <c:pt idx="53">
                  <c:v>1.32</c:v>
                </c:pt>
                <c:pt idx="54">
                  <c:v>1.24</c:v>
                </c:pt>
                <c:pt idx="55">
                  <c:v>3.34</c:v>
                </c:pt>
                <c:pt idx="56">
                  <c:v>2.76</c:v>
                </c:pt>
                <c:pt idx="57">
                  <c:v>2.74</c:v>
                </c:pt>
                <c:pt idx="58">
                  <c:v>2.7</c:v>
                </c:pt>
                <c:pt idx="59">
                  <c:v>2.67</c:v>
                </c:pt>
                <c:pt idx="60">
                  <c:v>2.64</c:v>
                </c:pt>
                <c:pt idx="61">
                  <c:v>2.62</c:v>
                </c:pt>
                <c:pt idx="62">
                  <c:v>2.59</c:v>
                </c:pt>
                <c:pt idx="63">
                  <c:v>2.56</c:v>
                </c:pt>
                <c:pt idx="64">
                  <c:v>2.54</c:v>
                </c:pt>
                <c:pt idx="65">
                  <c:v>2.51</c:v>
                </c:pt>
                <c:pt idx="66">
                  <c:v>2.49</c:v>
                </c:pt>
                <c:pt idx="67">
                  <c:v>2.47</c:v>
                </c:pt>
                <c:pt idx="68">
                  <c:v>2.45</c:v>
                </c:pt>
                <c:pt idx="69">
                  <c:v>2.42</c:v>
                </c:pt>
                <c:pt idx="70">
                  <c:v>2.4</c:v>
                </c:pt>
                <c:pt idx="71">
                  <c:v>2.25</c:v>
                </c:pt>
                <c:pt idx="72">
                  <c:v>2.16</c:v>
                </c:pt>
                <c:pt idx="73">
                  <c:v>2.09</c:v>
                </c:pt>
                <c:pt idx="74">
                  <c:v>2.02</c:v>
                </c:pt>
                <c:pt idx="75">
                  <c:v>1.97</c:v>
                </c:pt>
                <c:pt idx="76">
                  <c:v>1.92</c:v>
                </c:pt>
                <c:pt idx="77">
                  <c:v>1.87</c:v>
                </c:pt>
                <c:pt idx="78">
                  <c:v>1.83</c:v>
                </c:pt>
                <c:pt idx="79">
                  <c:v>1.79</c:v>
                </c:pt>
                <c:pt idx="80">
                  <c:v>1.76</c:v>
                </c:pt>
                <c:pt idx="81">
                  <c:v>2.08</c:v>
                </c:pt>
                <c:pt idx="82">
                  <c:v>1.81</c:v>
                </c:pt>
                <c:pt idx="83">
                  <c:v>1.63</c:v>
                </c:pt>
                <c:pt idx="84">
                  <c:v>1.53</c:v>
                </c:pt>
                <c:pt idx="85">
                  <c:v>1.43</c:v>
                </c:pt>
                <c:pt idx="86">
                  <c:v>1.34</c:v>
                </c:pt>
                <c:pt idx="87">
                  <c:v>2.7</c:v>
                </c:pt>
                <c:pt idx="88">
                  <c:v>2.23</c:v>
                </c:pt>
                <c:pt idx="89">
                  <c:v>1.88</c:v>
                </c:pt>
                <c:pt idx="90">
                  <c:v>1.8</c:v>
                </c:pt>
                <c:pt idx="91">
                  <c:v>1.61</c:v>
                </c:pt>
                <c:pt idx="92">
                  <c:v>1.38</c:v>
                </c:pt>
                <c:pt idx="93">
                  <c:v>1.3</c:v>
                </c:pt>
                <c:pt idx="94">
                  <c:v>1.51</c:v>
                </c:pt>
                <c:pt idx="95">
                  <c:v>1.84</c:v>
                </c:pt>
              </c:numCache>
            </c:numRef>
          </c:val>
          <c:smooth val="1"/>
        </c:ser>
        <c:axId val="4823890"/>
        <c:axId val="43415011"/>
      </c:lineChart>
      <c:catAx>
        <c:axId val="4823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415011"/>
        <c:crosses val="autoZero"/>
        <c:auto val="0"/>
        <c:lblOffset val="100"/>
        <c:noMultiLvlLbl val="0"/>
      </c:catAx>
      <c:valAx>
        <c:axId val="43415011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48238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"/>
          <c:y val="0.9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25"/>
          <c:w val="0.986"/>
          <c:h val="0.97575"/>
        </c:manualLayout>
      </c:layout>
      <c:lineChart>
        <c:grouping val="standard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data!$K$2:$K$111</c:f>
              <c:numCache>
                <c:ptCount val="110"/>
                <c:pt idx="1">
                  <c:v>13.598</c:v>
                </c:pt>
                <c:pt idx="2">
                  <c:v>24.587</c:v>
                </c:pt>
                <c:pt idx="3">
                  <c:v>5.392</c:v>
                </c:pt>
                <c:pt idx="4">
                  <c:v>9.322</c:v>
                </c:pt>
                <c:pt idx="5">
                  <c:v>5.298</c:v>
                </c:pt>
                <c:pt idx="6">
                  <c:v>11.26</c:v>
                </c:pt>
                <c:pt idx="7">
                  <c:v>14.534</c:v>
                </c:pt>
                <c:pt idx="8">
                  <c:v>13.618</c:v>
                </c:pt>
                <c:pt idx="9">
                  <c:v>17.422</c:v>
                </c:pt>
                <c:pt idx="10">
                  <c:v>21.564</c:v>
                </c:pt>
                <c:pt idx="11">
                  <c:v>5.139</c:v>
                </c:pt>
                <c:pt idx="12">
                  <c:v>7.646</c:v>
                </c:pt>
                <c:pt idx="13">
                  <c:v>5.986</c:v>
                </c:pt>
                <c:pt idx="14">
                  <c:v>8.151</c:v>
                </c:pt>
                <c:pt idx="15">
                  <c:v>10.486</c:v>
                </c:pt>
                <c:pt idx="16">
                  <c:v>10.36</c:v>
                </c:pt>
                <c:pt idx="17">
                  <c:v>12.967</c:v>
                </c:pt>
                <c:pt idx="18">
                  <c:v>15.759</c:v>
                </c:pt>
                <c:pt idx="19">
                  <c:v>4.341</c:v>
                </c:pt>
                <c:pt idx="20">
                  <c:v>6.113</c:v>
                </c:pt>
                <c:pt idx="21">
                  <c:v>6.54</c:v>
                </c:pt>
                <c:pt idx="22">
                  <c:v>6.82</c:v>
                </c:pt>
                <c:pt idx="23">
                  <c:v>6.74</c:v>
                </c:pt>
                <c:pt idx="24">
                  <c:v>6.766</c:v>
                </c:pt>
                <c:pt idx="25">
                  <c:v>7.435</c:v>
                </c:pt>
                <c:pt idx="26">
                  <c:v>7.87</c:v>
                </c:pt>
                <c:pt idx="27">
                  <c:v>7.86</c:v>
                </c:pt>
                <c:pt idx="28">
                  <c:v>7.635</c:v>
                </c:pt>
                <c:pt idx="29">
                  <c:v>7.726</c:v>
                </c:pt>
                <c:pt idx="30">
                  <c:v>9.394</c:v>
                </c:pt>
                <c:pt idx="31">
                  <c:v>5.999</c:v>
                </c:pt>
                <c:pt idx="32">
                  <c:v>7.899</c:v>
                </c:pt>
                <c:pt idx="33">
                  <c:v>9.81</c:v>
                </c:pt>
                <c:pt idx="34">
                  <c:v>9.752</c:v>
                </c:pt>
                <c:pt idx="35">
                  <c:v>11.814</c:v>
                </c:pt>
                <c:pt idx="36">
                  <c:v>13.999</c:v>
                </c:pt>
                <c:pt idx="37">
                  <c:v>4.177</c:v>
                </c:pt>
                <c:pt idx="38">
                  <c:v>5.695</c:v>
                </c:pt>
                <c:pt idx="39">
                  <c:v>6.38</c:v>
                </c:pt>
                <c:pt idx="40">
                  <c:v>6.34</c:v>
                </c:pt>
                <c:pt idx="41">
                  <c:v>6.88</c:v>
                </c:pt>
                <c:pt idx="42">
                  <c:v>7.099</c:v>
                </c:pt>
                <c:pt idx="43">
                  <c:v>7.28</c:v>
                </c:pt>
                <c:pt idx="44">
                  <c:v>7.37</c:v>
                </c:pt>
                <c:pt idx="45">
                  <c:v>7.46</c:v>
                </c:pt>
                <c:pt idx="46">
                  <c:v>8.34</c:v>
                </c:pt>
                <c:pt idx="47">
                  <c:v>7.576</c:v>
                </c:pt>
                <c:pt idx="48">
                  <c:v>8.993</c:v>
                </c:pt>
                <c:pt idx="49">
                  <c:v>5.786</c:v>
                </c:pt>
                <c:pt idx="50">
                  <c:v>7.344</c:v>
                </c:pt>
                <c:pt idx="51">
                  <c:v>8.641</c:v>
                </c:pt>
                <c:pt idx="52">
                  <c:v>9.009</c:v>
                </c:pt>
                <c:pt idx="53">
                  <c:v>10.451</c:v>
                </c:pt>
                <c:pt idx="54">
                  <c:v>12.13</c:v>
                </c:pt>
                <c:pt idx="55">
                  <c:v>3.894</c:v>
                </c:pt>
                <c:pt idx="56">
                  <c:v>5.212</c:v>
                </c:pt>
                <c:pt idx="57">
                  <c:v>5.58</c:v>
                </c:pt>
                <c:pt idx="58">
                  <c:v>5.54</c:v>
                </c:pt>
                <c:pt idx="59">
                  <c:v>5.46</c:v>
                </c:pt>
                <c:pt idx="60">
                  <c:v>5.53</c:v>
                </c:pt>
                <c:pt idx="61">
                  <c:v>5.554</c:v>
                </c:pt>
                <c:pt idx="62">
                  <c:v>5.64</c:v>
                </c:pt>
                <c:pt idx="63">
                  <c:v>5.67</c:v>
                </c:pt>
                <c:pt idx="64">
                  <c:v>6.15</c:v>
                </c:pt>
                <c:pt idx="65">
                  <c:v>5.86</c:v>
                </c:pt>
                <c:pt idx="66">
                  <c:v>5.94</c:v>
                </c:pt>
                <c:pt idx="67">
                  <c:v>6.018</c:v>
                </c:pt>
                <c:pt idx="68">
                  <c:v>6.101</c:v>
                </c:pt>
                <c:pt idx="69">
                  <c:v>6.184</c:v>
                </c:pt>
                <c:pt idx="70">
                  <c:v>6.254</c:v>
                </c:pt>
                <c:pt idx="71">
                  <c:v>5.43</c:v>
                </c:pt>
                <c:pt idx="72">
                  <c:v>6.65</c:v>
                </c:pt>
                <c:pt idx="73">
                  <c:v>7.89</c:v>
                </c:pt>
                <c:pt idx="74">
                  <c:v>7.98</c:v>
                </c:pt>
                <c:pt idx="75">
                  <c:v>7.88</c:v>
                </c:pt>
                <c:pt idx="76">
                  <c:v>8.7</c:v>
                </c:pt>
                <c:pt idx="77">
                  <c:v>9.1</c:v>
                </c:pt>
                <c:pt idx="78">
                  <c:v>9</c:v>
                </c:pt>
                <c:pt idx="79">
                  <c:v>9.225</c:v>
                </c:pt>
                <c:pt idx="80">
                  <c:v>10.437</c:v>
                </c:pt>
                <c:pt idx="81">
                  <c:v>6.108</c:v>
                </c:pt>
                <c:pt idx="82">
                  <c:v>7.416</c:v>
                </c:pt>
                <c:pt idx="83">
                  <c:v>7.289</c:v>
                </c:pt>
                <c:pt idx="84">
                  <c:v>8.42</c:v>
                </c:pt>
                <c:pt idx="85">
                  <c:v>0</c:v>
                </c:pt>
                <c:pt idx="86">
                  <c:v>10.748</c:v>
                </c:pt>
                <c:pt idx="87">
                  <c:v>0</c:v>
                </c:pt>
                <c:pt idx="88">
                  <c:v>5.279</c:v>
                </c:pt>
                <c:pt idx="89">
                  <c:v>5.17</c:v>
                </c:pt>
                <c:pt idx="90">
                  <c:v>6.01</c:v>
                </c:pt>
                <c:pt idx="91">
                  <c:v>5.89</c:v>
                </c:pt>
                <c:pt idx="92">
                  <c:v>6.05</c:v>
                </c:pt>
                <c:pt idx="93">
                  <c:v>6.19</c:v>
                </c:pt>
                <c:pt idx="94">
                  <c:v>6.06</c:v>
                </c:pt>
                <c:pt idx="95">
                  <c:v>5.993</c:v>
                </c:pt>
                <c:pt idx="96">
                  <c:v>6.02</c:v>
                </c:pt>
                <c:pt idx="97">
                  <c:v>6.23</c:v>
                </c:pt>
                <c:pt idx="98">
                  <c:v>6.3</c:v>
                </c:pt>
                <c:pt idx="99">
                  <c:v>6.42</c:v>
                </c:pt>
                <c:pt idx="100">
                  <c:v>6.5</c:v>
                </c:pt>
                <c:pt idx="101">
                  <c:v>6.58</c:v>
                </c:pt>
                <c:pt idx="102">
                  <c:v>6.65</c:v>
                </c:pt>
              </c:numCache>
            </c:numRef>
          </c:val>
          <c:smooth val="1"/>
        </c:ser>
        <c:marker val="1"/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54973"/>
        <c:crosses val="autoZero"/>
        <c:auto val="0"/>
        <c:lblOffset val="100"/>
        <c:noMultiLvlLbl val="0"/>
      </c:catAx>
      <c:valAx>
        <c:axId val="2695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1907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62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5"/>
          <c:w val="0.986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data!$L$2:$L$111</c:f>
              <c:numCache>
                <c:ptCount val="110"/>
                <c:pt idx="3">
                  <c:v>3.582</c:v>
                </c:pt>
                <c:pt idx="4">
                  <c:v>1.825</c:v>
                </c:pt>
                <c:pt idx="5">
                  <c:v>1.026</c:v>
                </c:pt>
                <c:pt idx="6">
                  <c:v>0.709</c:v>
                </c:pt>
                <c:pt idx="7">
                  <c:v>1.042</c:v>
                </c:pt>
                <c:pt idx="8">
                  <c:v>0.92</c:v>
                </c:pt>
                <c:pt idx="9">
                  <c:v>0.824</c:v>
                </c:pt>
                <c:pt idx="10">
                  <c:v>1.03</c:v>
                </c:pt>
                <c:pt idx="11">
                  <c:v>1.23</c:v>
                </c:pt>
                <c:pt idx="12">
                  <c:v>1.02</c:v>
                </c:pt>
                <c:pt idx="13">
                  <c:v>0.9</c:v>
                </c:pt>
                <c:pt idx="14">
                  <c:v>0.7</c:v>
                </c:pt>
                <c:pt idx="15">
                  <c:v>0.769</c:v>
                </c:pt>
                <c:pt idx="16">
                  <c:v>0.71</c:v>
                </c:pt>
                <c:pt idx="17">
                  <c:v>0.48</c:v>
                </c:pt>
                <c:pt idx="18">
                  <c:v>0.52</c:v>
                </c:pt>
                <c:pt idx="19">
                  <c:v>0.757</c:v>
                </c:pt>
                <c:pt idx="20">
                  <c:v>0.647</c:v>
                </c:pt>
                <c:pt idx="21">
                  <c:v>0.568</c:v>
                </c:pt>
                <c:pt idx="22">
                  <c:v>0.523</c:v>
                </c:pt>
                <c:pt idx="23">
                  <c:v>0.489</c:v>
                </c:pt>
                <c:pt idx="24">
                  <c:v>0.449</c:v>
                </c:pt>
                <c:pt idx="25">
                  <c:v>0.48</c:v>
                </c:pt>
                <c:pt idx="26">
                  <c:v>0.449</c:v>
                </c:pt>
                <c:pt idx="27">
                  <c:v>0.421</c:v>
                </c:pt>
                <c:pt idx="28">
                  <c:v>0.444</c:v>
                </c:pt>
                <c:pt idx="29">
                  <c:v>0.385</c:v>
                </c:pt>
                <c:pt idx="30">
                  <c:v>0.388</c:v>
                </c:pt>
                <c:pt idx="31">
                  <c:v>0.371</c:v>
                </c:pt>
                <c:pt idx="32">
                  <c:v>0.32</c:v>
                </c:pt>
                <c:pt idx="33">
                  <c:v>0.33</c:v>
                </c:pt>
                <c:pt idx="34">
                  <c:v>0.32</c:v>
                </c:pt>
                <c:pt idx="35">
                  <c:v>0.226</c:v>
                </c:pt>
                <c:pt idx="36">
                  <c:v>0.248</c:v>
                </c:pt>
                <c:pt idx="37">
                  <c:v>0.363</c:v>
                </c:pt>
                <c:pt idx="38">
                  <c:v>0.3</c:v>
                </c:pt>
                <c:pt idx="39">
                  <c:v>0.3</c:v>
                </c:pt>
                <c:pt idx="40">
                  <c:v>0.278</c:v>
                </c:pt>
                <c:pt idx="41">
                  <c:v>0.265</c:v>
                </c:pt>
                <c:pt idx="42">
                  <c:v>0.25</c:v>
                </c:pt>
                <c:pt idx="43">
                  <c:v>0.24</c:v>
                </c:pt>
                <c:pt idx="44">
                  <c:v>0.238</c:v>
                </c:pt>
                <c:pt idx="45">
                  <c:v>0.242</c:v>
                </c:pt>
                <c:pt idx="46">
                  <c:v>0.244</c:v>
                </c:pt>
                <c:pt idx="47">
                  <c:v>0.235</c:v>
                </c:pt>
                <c:pt idx="48">
                  <c:v>0.232</c:v>
                </c:pt>
                <c:pt idx="49">
                  <c:v>0.233</c:v>
                </c:pt>
                <c:pt idx="50">
                  <c:v>0.228</c:v>
                </c:pt>
                <c:pt idx="51">
                  <c:v>0.207</c:v>
                </c:pt>
                <c:pt idx="52">
                  <c:v>0.202</c:v>
                </c:pt>
                <c:pt idx="53">
                  <c:v>0.145</c:v>
                </c:pt>
                <c:pt idx="54">
                  <c:v>0.158</c:v>
                </c:pt>
                <c:pt idx="55">
                  <c:v>0.24</c:v>
                </c:pt>
                <c:pt idx="56">
                  <c:v>0.204</c:v>
                </c:pt>
                <c:pt idx="57">
                  <c:v>0.19</c:v>
                </c:pt>
                <c:pt idx="58">
                  <c:v>0.19</c:v>
                </c:pt>
                <c:pt idx="59">
                  <c:v>0.193</c:v>
                </c:pt>
                <c:pt idx="60">
                  <c:v>0.19</c:v>
                </c:pt>
                <c:pt idx="62">
                  <c:v>0.197</c:v>
                </c:pt>
                <c:pt idx="63">
                  <c:v>0.182</c:v>
                </c:pt>
                <c:pt idx="64">
                  <c:v>0.236</c:v>
                </c:pt>
                <c:pt idx="65">
                  <c:v>0.18</c:v>
                </c:pt>
                <c:pt idx="66">
                  <c:v>0.173</c:v>
                </c:pt>
                <c:pt idx="67">
                  <c:v>0.165</c:v>
                </c:pt>
                <c:pt idx="68">
                  <c:v>0.168</c:v>
                </c:pt>
                <c:pt idx="69">
                  <c:v>0.16</c:v>
                </c:pt>
                <c:pt idx="70">
                  <c:v>0.155</c:v>
                </c:pt>
                <c:pt idx="71">
                  <c:v>0.15</c:v>
                </c:pt>
                <c:pt idx="72">
                  <c:v>0.14</c:v>
                </c:pt>
                <c:pt idx="73">
                  <c:v>0.14</c:v>
                </c:pt>
                <c:pt idx="74">
                  <c:v>0.13</c:v>
                </c:pt>
                <c:pt idx="75">
                  <c:v>0.137</c:v>
                </c:pt>
                <c:pt idx="76">
                  <c:v>0.13</c:v>
                </c:pt>
                <c:pt idx="77">
                  <c:v>0.13</c:v>
                </c:pt>
                <c:pt idx="78">
                  <c:v>0.13</c:v>
                </c:pt>
                <c:pt idx="79">
                  <c:v>0.128</c:v>
                </c:pt>
                <c:pt idx="80">
                  <c:v>0.14</c:v>
                </c:pt>
                <c:pt idx="81">
                  <c:v>0.129</c:v>
                </c:pt>
                <c:pt idx="82">
                  <c:v>0.129</c:v>
                </c:pt>
                <c:pt idx="83">
                  <c:v>0.122</c:v>
                </c:pt>
                <c:pt idx="86">
                  <c:v>0.094</c:v>
                </c:pt>
                <c:pt idx="88">
                  <c:v>0.094</c:v>
                </c:pt>
                <c:pt idx="89">
                  <c:v>0.12</c:v>
                </c:pt>
                <c:pt idx="90">
                  <c:v>0.113</c:v>
                </c:pt>
                <c:pt idx="92">
                  <c:v>0.12</c:v>
                </c:pt>
                <c:pt idx="94">
                  <c:v>0.13</c:v>
                </c:pt>
              </c:numCache>
            </c:numRef>
          </c:val>
          <c:smooth val="1"/>
        </c:ser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69175"/>
        <c:crosses val="autoZero"/>
        <c:auto val="0"/>
        <c:lblOffset val="100"/>
        <c:noMultiLvlLbl val="0"/>
      </c:catAx>
      <c:valAx>
        <c:axId val="35869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681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055"/>
          <c:w val="0.986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thermal conductivity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data!$M$2:$M$111</c:f>
              <c:numCache>
                <c:ptCount val="110"/>
                <c:pt idx="1">
                  <c:v>0.1815</c:v>
                </c:pt>
                <c:pt idx="2">
                  <c:v>0.152</c:v>
                </c:pt>
                <c:pt idx="3">
                  <c:v>84.7</c:v>
                </c:pt>
                <c:pt idx="4">
                  <c:v>200</c:v>
                </c:pt>
                <c:pt idx="5">
                  <c:v>27</c:v>
                </c:pt>
                <c:pt idx="7">
                  <c:v>0.02598</c:v>
                </c:pt>
                <c:pt idx="8">
                  <c:v>0.2674</c:v>
                </c:pt>
                <c:pt idx="9">
                  <c:v>0.0279</c:v>
                </c:pt>
                <c:pt idx="10">
                  <c:v>0.0493</c:v>
                </c:pt>
                <c:pt idx="11">
                  <c:v>141</c:v>
                </c:pt>
                <c:pt idx="12">
                  <c:v>156</c:v>
                </c:pt>
                <c:pt idx="13">
                  <c:v>237</c:v>
                </c:pt>
                <c:pt idx="14">
                  <c:v>148</c:v>
                </c:pt>
                <c:pt idx="15">
                  <c:v>0.235</c:v>
                </c:pt>
                <c:pt idx="16">
                  <c:v>0.269</c:v>
                </c:pt>
                <c:pt idx="17">
                  <c:v>0.0089</c:v>
                </c:pt>
                <c:pt idx="18">
                  <c:v>0.0177</c:v>
                </c:pt>
                <c:pt idx="19">
                  <c:v>102.5</c:v>
                </c:pt>
                <c:pt idx="20">
                  <c:v>200</c:v>
                </c:pt>
                <c:pt idx="21">
                  <c:v>15.8</c:v>
                </c:pt>
                <c:pt idx="22">
                  <c:v>21.9</c:v>
                </c:pt>
                <c:pt idx="23">
                  <c:v>30.7</c:v>
                </c:pt>
                <c:pt idx="24">
                  <c:v>93.7</c:v>
                </c:pt>
                <c:pt idx="25">
                  <c:v>7.82</c:v>
                </c:pt>
                <c:pt idx="26">
                  <c:v>80.2</c:v>
                </c:pt>
                <c:pt idx="27">
                  <c:v>100</c:v>
                </c:pt>
                <c:pt idx="28">
                  <c:v>90.7</c:v>
                </c:pt>
                <c:pt idx="29">
                  <c:v>401</c:v>
                </c:pt>
                <c:pt idx="30">
                  <c:v>116</c:v>
                </c:pt>
                <c:pt idx="31">
                  <c:v>40.6</c:v>
                </c:pt>
                <c:pt idx="32">
                  <c:v>59.9</c:v>
                </c:pt>
                <c:pt idx="33">
                  <c:v>50</c:v>
                </c:pt>
                <c:pt idx="34">
                  <c:v>2.04</c:v>
                </c:pt>
                <c:pt idx="35">
                  <c:v>0.122</c:v>
                </c:pt>
                <c:pt idx="36">
                  <c:v>0.00949</c:v>
                </c:pt>
                <c:pt idx="37">
                  <c:v>58.2</c:v>
                </c:pt>
                <c:pt idx="38">
                  <c:v>3.53</c:v>
                </c:pt>
                <c:pt idx="39">
                  <c:v>17.2</c:v>
                </c:pt>
                <c:pt idx="40">
                  <c:v>22.7</c:v>
                </c:pt>
                <c:pt idx="41">
                  <c:v>53.7</c:v>
                </c:pt>
                <c:pt idx="42">
                  <c:v>138</c:v>
                </c:pt>
                <c:pt idx="43">
                  <c:v>50.6</c:v>
                </c:pt>
                <c:pt idx="44">
                  <c:v>117</c:v>
                </c:pt>
                <c:pt idx="45">
                  <c:v>150</c:v>
                </c:pt>
                <c:pt idx="46">
                  <c:v>71.8</c:v>
                </c:pt>
                <c:pt idx="47">
                  <c:v>429</c:v>
                </c:pt>
                <c:pt idx="48">
                  <c:v>96.8</c:v>
                </c:pt>
                <c:pt idx="49">
                  <c:v>81.6</c:v>
                </c:pt>
                <c:pt idx="50">
                  <c:v>66.6</c:v>
                </c:pt>
                <c:pt idx="51">
                  <c:v>24.3</c:v>
                </c:pt>
                <c:pt idx="52">
                  <c:v>2.35</c:v>
                </c:pt>
                <c:pt idx="53">
                  <c:v>0.449</c:v>
                </c:pt>
                <c:pt idx="54">
                  <c:v>0.00569</c:v>
                </c:pt>
                <c:pt idx="55">
                  <c:v>35.9</c:v>
                </c:pt>
                <c:pt idx="56">
                  <c:v>18.4</c:v>
                </c:pt>
                <c:pt idx="57">
                  <c:v>13.5</c:v>
                </c:pt>
                <c:pt idx="58">
                  <c:v>11.4</c:v>
                </c:pt>
                <c:pt idx="59">
                  <c:v>12.5</c:v>
                </c:pt>
                <c:pt idx="60">
                  <c:v>16.5</c:v>
                </c:pt>
                <c:pt idx="61">
                  <c:v>17.9</c:v>
                </c:pt>
                <c:pt idx="62">
                  <c:v>0</c:v>
                </c:pt>
                <c:pt idx="63">
                  <c:v>13.9</c:v>
                </c:pt>
                <c:pt idx="64">
                  <c:v>10.6</c:v>
                </c:pt>
                <c:pt idx="65">
                  <c:v>11.1</c:v>
                </c:pt>
                <c:pt idx="66">
                  <c:v>10.7</c:v>
                </c:pt>
                <c:pt idx="67">
                  <c:v>16.2</c:v>
                </c:pt>
                <c:pt idx="68">
                  <c:v>14.3</c:v>
                </c:pt>
                <c:pt idx="69">
                  <c:v>16.8</c:v>
                </c:pt>
                <c:pt idx="70">
                  <c:v>34.9</c:v>
                </c:pt>
                <c:pt idx="71">
                  <c:v>16.4</c:v>
                </c:pt>
                <c:pt idx="72">
                  <c:v>23</c:v>
                </c:pt>
                <c:pt idx="73">
                  <c:v>57.5</c:v>
                </c:pt>
                <c:pt idx="74">
                  <c:v>174</c:v>
                </c:pt>
                <c:pt idx="75">
                  <c:v>47.9</c:v>
                </c:pt>
                <c:pt idx="76">
                  <c:v>87.6</c:v>
                </c:pt>
                <c:pt idx="77">
                  <c:v>147</c:v>
                </c:pt>
                <c:pt idx="78">
                  <c:v>71.6</c:v>
                </c:pt>
                <c:pt idx="79">
                  <c:v>317</c:v>
                </c:pt>
                <c:pt idx="80">
                  <c:v>8.34</c:v>
                </c:pt>
                <c:pt idx="81">
                  <c:v>46.1</c:v>
                </c:pt>
                <c:pt idx="82">
                  <c:v>35.3</c:v>
                </c:pt>
                <c:pt idx="83">
                  <c:v>7.87</c:v>
                </c:pt>
                <c:pt idx="84">
                  <c:v>20</c:v>
                </c:pt>
                <c:pt idx="85">
                  <c:v>1.7</c:v>
                </c:pt>
                <c:pt idx="86">
                  <c:v>0.00364</c:v>
                </c:pt>
                <c:pt idx="87">
                  <c:v>15</c:v>
                </c:pt>
                <c:pt idx="88">
                  <c:v>18.6</c:v>
                </c:pt>
                <c:pt idx="89">
                  <c:v>12</c:v>
                </c:pt>
                <c:pt idx="90">
                  <c:v>54</c:v>
                </c:pt>
                <c:pt idx="91">
                  <c:v>47</c:v>
                </c:pt>
                <c:pt idx="92">
                  <c:v>27.6</c:v>
                </c:pt>
                <c:pt idx="93">
                  <c:v>6.3</c:v>
                </c:pt>
                <c:pt idx="94">
                  <c:v>6.74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</c:numCache>
            </c:numRef>
          </c:val>
          <c:smooth val="1"/>
        </c:ser>
        <c:axId val="54387120"/>
        <c:axId val="19722033"/>
      </c:line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22033"/>
        <c:crosses val="autoZero"/>
        <c:auto val="0"/>
        <c:lblOffset val="100"/>
        <c:noMultiLvlLbl val="0"/>
      </c:catAx>
      <c:valAx>
        <c:axId val="197220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38712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8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7150" y="57150"/>
        <a:ext cx="678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7150" y="85725"/>
        <a:ext cx="6934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76200" y="95250"/>
        <a:ext cx="6915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9</xdr:col>
      <xdr:colOff>57150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6200" y="76200"/>
        <a:ext cx="6838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7</xdr:col>
      <xdr:colOff>152400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57150" y="66675"/>
        <a:ext cx="5429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123825</xdr:rowOff>
    </xdr:from>
    <xdr:to>
      <xdr:col>8</xdr:col>
      <xdr:colOff>514350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09550" y="323850"/>
        <a:ext cx="64008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123825</xdr:rowOff>
    </xdr:from>
    <xdr:to>
      <xdr:col>8</xdr:col>
      <xdr:colOff>514350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209550" y="3924300"/>
        <a:ext cx="6400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609600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161925" y="123825"/>
        <a:ext cx="6543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9</xdr:col>
      <xdr:colOff>209550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90500" y="180975"/>
        <a:ext cx="6877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47625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14300" y="95250"/>
        <a:ext cx="6791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8</xdr:col>
      <xdr:colOff>161925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57150" y="66675"/>
        <a:ext cx="6200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8</xdr:col>
      <xdr:colOff>733425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625" y="57150"/>
        <a:ext cx="6781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200025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47625" y="47625"/>
        <a:ext cx="54864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742950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38100"/>
        <a:ext cx="6800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9</xdr:col>
      <xdr:colOff>180975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76200" y="85725"/>
        <a:ext cx="6962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9</xdr:col>
      <xdr:colOff>114300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5725" y="85725"/>
        <a:ext cx="6886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142875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14300" y="95250"/>
        <a:ext cx="6886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152400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04775" y="85725"/>
        <a:ext cx="6905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25"/>
  <sheetViews>
    <sheetView tabSelected="1" zoomScale="75" zoomScaleNormal="75" workbookViewId="0" topLeftCell="A1">
      <pane xSplit="2" ySplit="1" topLeftCell="C2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2" sqref="C2"/>
    </sheetView>
  </sheetViews>
  <sheetFormatPr defaultColWidth="9.77734375" defaultRowHeight="15.75"/>
  <cols>
    <col min="1" max="1" width="9.77734375" style="24" customWidth="1"/>
    <col min="2" max="2" width="3.99609375" style="22" customWidth="1"/>
    <col min="3" max="3" width="3.3359375" style="22" customWidth="1"/>
    <col min="4" max="4" width="5.4453125" style="22" customWidth="1"/>
    <col min="5" max="5" width="6.21484375" style="22" customWidth="1"/>
    <col min="6" max="6" width="4.6640625" style="22" customWidth="1"/>
    <col min="7" max="7" width="6.88671875" style="22" customWidth="1"/>
    <col min="8" max="8" width="6.3359375" style="22" customWidth="1"/>
    <col min="9" max="9" width="4.99609375" style="22" customWidth="1"/>
    <col min="10" max="10" width="4.4453125" style="22" customWidth="1"/>
    <col min="11" max="14" width="5.4453125" style="22" customWidth="1"/>
    <col min="15" max="15" width="5.4453125" style="30" customWidth="1"/>
    <col min="16" max="16" width="6.3359375" style="22" customWidth="1"/>
    <col min="17" max="17" width="4.99609375" style="22" customWidth="1"/>
    <col min="18" max="18" width="5.10546875" style="22" customWidth="1"/>
    <col min="19" max="19" width="4.10546875" style="51" customWidth="1"/>
    <col min="20" max="21" width="3.6640625" style="22" customWidth="1"/>
    <col min="22" max="22" width="4.4453125" style="22" customWidth="1"/>
    <col min="23" max="25" width="3.99609375" style="22" customWidth="1"/>
    <col min="26" max="26" width="7.88671875" style="56" customWidth="1"/>
    <col min="27" max="28" width="6.4453125" style="58" customWidth="1"/>
    <col min="29" max="29" width="3.99609375" style="22" customWidth="1"/>
    <col min="30" max="30" width="9.77734375" style="24" customWidth="1"/>
    <col min="31" max="31" width="8.21484375" style="24" customWidth="1"/>
    <col min="32" max="32" width="3.99609375" style="24" customWidth="1"/>
    <col min="33" max="16384" width="9.77734375" style="24" customWidth="1"/>
  </cols>
  <sheetData>
    <row r="1" spans="1:30" s="21" customFormat="1" ht="57.75" customHeight="1">
      <c r="A1" s="21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1" t="s">
        <v>12</v>
      </c>
      <c r="N1" s="21" t="s">
        <v>13</v>
      </c>
      <c r="O1" s="29" t="s">
        <v>14</v>
      </c>
      <c r="P1" s="19" t="s">
        <v>15</v>
      </c>
      <c r="Q1" s="19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59" t="s">
        <v>25</v>
      </c>
      <c r="AA1" s="59" t="s">
        <v>26</v>
      </c>
      <c r="AB1" s="59" t="s">
        <v>27</v>
      </c>
      <c r="AC1" s="21" t="s">
        <v>28</v>
      </c>
      <c r="AD1" s="21" t="s">
        <v>29</v>
      </c>
    </row>
    <row r="2" spans="2:14" ht="12.75">
      <c r="B2" s="22">
        <v>0</v>
      </c>
      <c r="D2" s="23"/>
      <c r="E2" s="23"/>
      <c r="F2" s="23"/>
      <c r="N2" s="31"/>
    </row>
    <row r="3" spans="1:30" s="34" customFormat="1" ht="12.75">
      <c r="A3" s="52" t="s">
        <v>30</v>
      </c>
      <c r="B3" s="26">
        <v>1</v>
      </c>
      <c r="C3" s="26" t="s">
        <v>31</v>
      </c>
      <c r="D3" s="26">
        <v>20.28</v>
      </c>
      <c r="E3" s="26">
        <v>13.81</v>
      </c>
      <c r="F3" s="26">
        <v>0.0899</v>
      </c>
      <c r="G3" s="26">
        <v>1.00797</v>
      </c>
      <c r="H3" s="26">
        <v>1</v>
      </c>
      <c r="I3" s="26">
        <v>0.32</v>
      </c>
      <c r="J3" s="26">
        <v>0.79</v>
      </c>
      <c r="K3" s="26">
        <v>13.598</v>
      </c>
      <c r="L3" s="26"/>
      <c r="M3" s="32">
        <v>0.1815</v>
      </c>
      <c r="N3" s="32"/>
      <c r="O3" s="33">
        <v>0.0585</v>
      </c>
      <c r="P3" s="26">
        <v>0.4581</v>
      </c>
      <c r="Q3" s="26">
        <v>2.2</v>
      </c>
      <c r="R3" s="54">
        <f ca="1">YEAR(NOW())-1766</f>
        <v>240</v>
      </c>
      <c r="S3" s="52" t="s">
        <v>32</v>
      </c>
      <c r="T3" s="32">
        <v>1</v>
      </c>
      <c r="U3" s="32" t="s">
        <v>33</v>
      </c>
      <c r="V3" s="32" t="s">
        <v>34</v>
      </c>
      <c r="W3" s="32"/>
      <c r="X3" s="32"/>
      <c r="Y3" s="32"/>
      <c r="Z3" s="55">
        <v>1400</v>
      </c>
      <c r="AA3" s="57">
        <v>108000</v>
      </c>
      <c r="AB3" s="57">
        <v>10</v>
      </c>
      <c r="AC3" s="32">
        <f>LEN(A3)</f>
        <v>8</v>
      </c>
      <c r="AD3" s="52" t="s">
        <v>35</v>
      </c>
    </row>
    <row r="4" spans="1:30" s="34" customFormat="1" ht="12.75">
      <c r="A4" s="52" t="s">
        <v>36</v>
      </c>
      <c r="B4" s="26">
        <f>B3+1</f>
        <v>2</v>
      </c>
      <c r="C4" s="26" t="s">
        <v>37</v>
      </c>
      <c r="D4" s="26">
        <v>4.216</v>
      </c>
      <c r="E4" s="26">
        <v>0.95</v>
      </c>
      <c r="F4" s="26">
        <v>0.1785</v>
      </c>
      <c r="G4" s="26">
        <v>4.0026</v>
      </c>
      <c r="H4" s="26">
        <v>0</v>
      </c>
      <c r="I4" s="26">
        <v>0.93</v>
      </c>
      <c r="J4" s="26">
        <v>0.49</v>
      </c>
      <c r="K4" s="26">
        <v>24.587</v>
      </c>
      <c r="L4" s="26"/>
      <c r="M4" s="32">
        <v>0.152</v>
      </c>
      <c r="N4" s="32"/>
      <c r="O4" s="33">
        <v>0.021</v>
      </c>
      <c r="P4" s="26">
        <v>0.084</v>
      </c>
      <c r="Q4" s="35"/>
      <c r="R4" s="32">
        <f ca="1">YEAR(NOW())-1868</f>
        <v>138</v>
      </c>
      <c r="S4" s="52" t="s">
        <v>38</v>
      </c>
      <c r="T4" s="32">
        <v>18</v>
      </c>
      <c r="U4" s="32" t="s">
        <v>33</v>
      </c>
      <c r="V4" s="32" t="s">
        <v>39</v>
      </c>
      <c r="W4" s="32"/>
      <c r="X4" s="32"/>
      <c r="Y4" s="32"/>
      <c r="Z4" s="55">
        <v>0.008</v>
      </c>
      <c r="AA4" s="57">
        <v>7E-16</v>
      </c>
      <c r="AB4" s="57"/>
      <c r="AC4" s="32">
        <f aca="true" t="shared" si="0" ref="AC4:AC19">LEN(A4)</f>
        <v>6</v>
      </c>
      <c r="AD4" s="52" t="s">
        <v>40</v>
      </c>
    </row>
    <row r="5" spans="1:30" ht="12.75">
      <c r="A5" s="51" t="s">
        <v>41</v>
      </c>
      <c r="B5" s="23">
        <f aca="true" t="shared" si="1" ref="B5:B20">B4+1</f>
        <v>3</v>
      </c>
      <c r="C5" s="23" t="s">
        <v>42</v>
      </c>
      <c r="D5" s="23">
        <v>1615</v>
      </c>
      <c r="E5" s="23">
        <v>453.7</v>
      </c>
      <c r="F5" s="23">
        <v>0.53</v>
      </c>
      <c r="G5" s="23">
        <v>6.941</v>
      </c>
      <c r="H5" s="23">
        <v>1</v>
      </c>
      <c r="I5" s="23">
        <v>1.23</v>
      </c>
      <c r="J5" s="23">
        <v>2.05</v>
      </c>
      <c r="K5" s="23">
        <v>5.392</v>
      </c>
      <c r="L5" s="23">
        <v>3.582</v>
      </c>
      <c r="M5" s="22">
        <v>84.7</v>
      </c>
      <c r="N5" s="22">
        <v>11.7</v>
      </c>
      <c r="O5" s="30">
        <v>3</v>
      </c>
      <c r="P5" s="23">
        <v>147.1</v>
      </c>
      <c r="Q5" s="23">
        <v>0.98</v>
      </c>
      <c r="R5" s="22">
        <f ca="1">YEAR(NOW())-1817</f>
        <v>189</v>
      </c>
      <c r="S5" s="51" t="s">
        <v>43</v>
      </c>
      <c r="T5" s="22">
        <v>1</v>
      </c>
      <c r="U5" s="22" t="s">
        <v>33</v>
      </c>
      <c r="V5" s="22" t="s">
        <v>34</v>
      </c>
      <c r="Z5" s="56">
        <v>20</v>
      </c>
      <c r="AA5" s="58">
        <v>0.18</v>
      </c>
      <c r="AC5" s="32">
        <f t="shared" si="0"/>
        <v>7</v>
      </c>
      <c r="AD5" s="51" t="s">
        <v>44</v>
      </c>
    </row>
    <row r="6" spans="1:30" ht="12.75">
      <c r="A6" s="51" t="s">
        <v>45</v>
      </c>
      <c r="B6" s="23">
        <f t="shared" si="1"/>
        <v>4</v>
      </c>
      <c r="C6" s="23" t="s">
        <v>46</v>
      </c>
      <c r="D6" s="23">
        <v>3243</v>
      </c>
      <c r="E6" s="23">
        <v>1560</v>
      </c>
      <c r="F6" s="23">
        <v>1.85</v>
      </c>
      <c r="G6" s="23">
        <v>9.01218</v>
      </c>
      <c r="H6" s="23">
        <v>2</v>
      </c>
      <c r="I6" s="23">
        <v>0.9</v>
      </c>
      <c r="J6" s="23">
        <v>1.4</v>
      </c>
      <c r="K6" s="23">
        <v>9.322</v>
      </c>
      <c r="L6" s="23">
        <v>1.825</v>
      </c>
      <c r="M6" s="22">
        <v>200</v>
      </c>
      <c r="N6" s="22">
        <v>25</v>
      </c>
      <c r="O6" s="30">
        <v>11.71</v>
      </c>
      <c r="P6" s="23">
        <v>297</v>
      </c>
      <c r="Q6" s="23">
        <v>1.57</v>
      </c>
      <c r="R6" s="22">
        <f ca="1">YEAR(NOW())-1798</f>
        <v>208</v>
      </c>
      <c r="S6" s="51" t="s">
        <v>47</v>
      </c>
      <c r="T6" s="22">
        <v>2</v>
      </c>
      <c r="U6" s="22" t="s">
        <v>33</v>
      </c>
      <c r="V6" s="22" t="s">
        <v>34</v>
      </c>
      <c r="Z6" s="56">
        <v>2.8</v>
      </c>
      <c r="AA6" s="58">
        <v>5.6E-06</v>
      </c>
      <c r="AC6" s="32">
        <f t="shared" si="0"/>
        <v>9</v>
      </c>
      <c r="AD6" s="51" t="s">
        <v>48</v>
      </c>
    </row>
    <row r="7" spans="1:30" ht="12.75">
      <c r="A7" s="51" t="s">
        <v>49</v>
      </c>
      <c r="B7" s="23">
        <f t="shared" si="1"/>
        <v>5</v>
      </c>
      <c r="C7" s="23" t="s">
        <v>50</v>
      </c>
      <c r="D7" s="23">
        <v>4275</v>
      </c>
      <c r="E7" s="23">
        <v>2365</v>
      </c>
      <c r="F7" s="23">
        <v>2.34</v>
      </c>
      <c r="G7" s="23">
        <v>10.811</v>
      </c>
      <c r="H7" s="23">
        <v>3</v>
      </c>
      <c r="I7" s="23">
        <v>0.82</v>
      </c>
      <c r="J7" s="23">
        <v>1.17</v>
      </c>
      <c r="K7" s="23">
        <v>5.298</v>
      </c>
      <c r="L7" s="23">
        <v>1.026</v>
      </c>
      <c r="M7" s="22">
        <v>27</v>
      </c>
      <c r="N7" s="22">
        <v>5E-12</v>
      </c>
      <c r="O7" s="30">
        <v>22.6</v>
      </c>
      <c r="P7" s="23">
        <v>507.8</v>
      </c>
      <c r="Q7" s="23">
        <v>2.04</v>
      </c>
      <c r="R7" s="22">
        <f ca="1">YEAR(NOW())-1808</f>
        <v>198</v>
      </c>
      <c r="S7" s="51" t="s">
        <v>51</v>
      </c>
      <c r="T7" s="22">
        <v>13</v>
      </c>
      <c r="U7" s="22" t="s">
        <v>52</v>
      </c>
      <c r="V7" s="22" t="s">
        <v>39</v>
      </c>
      <c r="Z7" s="56">
        <v>10</v>
      </c>
      <c r="AA7" s="58">
        <v>4.44</v>
      </c>
      <c r="AB7" s="58">
        <v>7E-05</v>
      </c>
      <c r="AC7" s="32">
        <f t="shared" si="0"/>
        <v>5</v>
      </c>
      <c r="AD7" s="51" t="s">
        <v>53</v>
      </c>
    </row>
    <row r="8" spans="1:30" ht="12.75">
      <c r="A8" s="51" t="s">
        <v>54</v>
      </c>
      <c r="B8" s="23">
        <f t="shared" si="1"/>
        <v>6</v>
      </c>
      <c r="C8" s="23" t="s">
        <v>55</v>
      </c>
      <c r="D8" s="23">
        <v>5100</v>
      </c>
      <c r="E8" s="23">
        <v>3825</v>
      </c>
      <c r="F8" s="23">
        <v>2.26</v>
      </c>
      <c r="G8" s="23">
        <v>12.011</v>
      </c>
      <c r="H8" s="23">
        <v>4</v>
      </c>
      <c r="I8" s="23">
        <v>0.77</v>
      </c>
      <c r="J8" s="23">
        <v>0.91</v>
      </c>
      <c r="K8" s="23">
        <v>11.26</v>
      </c>
      <c r="L8" s="23">
        <v>0.709</v>
      </c>
      <c r="N8" s="22">
        <v>0.07</v>
      </c>
      <c r="P8" s="23">
        <v>715</v>
      </c>
      <c r="Q8" s="23">
        <v>2.55</v>
      </c>
      <c r="R8" s="22" t="s">
        <v>56</v>
      </c>
      <c r="S8" s="51" t="s">
        <v>57</v>
      </c>
      <c r="T8" s="22">
        <v>14</v>
      </c>
      <c r="U8" s="22" t="s">
        <v>52</v>
      </c>
      <c r="V8" s="22" t="s">
        <v>39</v>
      </c>
      <c r="W8" s="22">
        <v>2</v>
      </c>
      <c r="Z8" s="56">
        <v>200</v>
      </c>
      <c r="AA8" s="58">
        <v>28</v>
      </c>
      <c r="AB8" s="58">
        <v>23</v>
      </c>
      <c r="AC8" s="32">
        <f t="shared" si="0"/>
        <v>6</v>
      </c>
      <c r="AD8" s="51" t="s">
        <v>58</v>
      </c>
    </row>
    <row r="9" spans="1:30" s="34" customFormat="1" ht="12.75">
      <c r="A9" s="52" t="s">
        <v>59</v>
      </c>
      <c r="B9" s="26">
        <f t="shared" si="1"/>
        <v>7</v>
      </c>
      <c r="C9" s="26" t="s">
        <v>39</v>
      </c>
      <c r="D9" s="26">
        <v>77.344</v>
      </c>
      <c r="E9" s="26">
        <v>63.15</v>
      </c>
      <c r="F9" s="26">
        <v>1.251</v>
      </c>
      <c r="G9" s="26">
        <v>14.0067</v>
      </c>
      <c r="H9" s="26">
        <v>3</v>
      </c>
      <c r="I9" s="26">
        <v>0.75</v>
      </c>
      <c r="J9" s="26">
        <v>0.75</v>
      </c>
      <c r="K9" s="26">
        <v>14.534</v>
      </c>
      <c r="L9" s="26">
        <v>1.042</v>
      </c>
      <c r="M9" s="32">
        <v>0.02598</v>
      </c>
      <c r="N9" s="32"/>
      <c r="O9" s="33">
        <v>0.36</v>
      </c>
      <c r="P9" s="26">
        <v>2.7928</v>
      </c>
      <c r="Q9" s="26">
        <v>3.04</v>
      </c>
      <c r="R9" s="32">
        <f ca="1">YEAR(NOW())-1772</f>
        <v>234</v>
      </c>
      <c r="S9" s="52" t="s">
        <v>60</v>
      </c>
      <c r="T9" s="32">
        <v>15</v>
      </c>
      <c r="U9" s="32" t="s">
        <v>52</v>
      </c>
      <c r="V9" s="32" t="s">
        <v>39</v>
      </c>
      <c r="W9" s="32">
        <v>5</v>
      </c>
      <c r="X9" s="32">
        <v>4</v>
      </c>
      <c r="Y9" s="32">
        <v>2</v>
      </c>
      <c r="Z9" s="55">
        <v>19</v>
      </c>
      <c r="AA9" s="57">
        <v>50</v>
      </c>
      <c r="AB9" s="57">
        <v>2.6</v>
      </c>
      <c r="AC9" s="32">
        <f t="shared" si="0"/>
        <v>8</v>
      </c>
      <c r="AD9" s="52" t="s">
        <v>61</v>
      </c>
    </row>
    <row r="10" spans="1:30" s="34" customFormat="1" ht="12.75">
      <c r="A10" s="52" t="s">
        <v>62</v>
      </c>
      <c r="B10" s="26">
        <f t="shared" si="1"/>
        <v>8</v>
      </c>
      <c r="C10" s="26" t="s">
        <v>63</v>
      </c>
      <c r="D10" s="26">
        <v>90.188</v>
      </c>
      <c r="E10" s="26">
        <v>54.8</v>
      </c>
      <c r="F10" s="26">
        <v>1.429</v>
      </c>
      <c r="G10" s="26">
        <v>15.9994</v>
      </c>
      <c r="H10" s="26">
        <v>2</v>
      </c>
      <c r="I10" s="26">
        <v>0.73</v>
      </c>
      <c r="J10" s="26">
        <v>0.65</v>
      </c>
      <c r="K10" s="26">
        <v>13.618</v>
      </c>
      <c r="L10" s="26">
        <v>0.92</v>
      </c>
      <c r="M10" s="32">
        <v>0.2674</v>
      </c>
      <c r="N10" s="32"/>
      <c r="O10" s="33">
        <v>0.222</v>
      </c>
      <c r="P10" s="26">
        <v>3.4109</v>
      </c>
      <c r="Q10" s="26">
        <v>3.44</v>
      </c>
      <c r="R10" s="32">
        <f ca="1">YEAR(NOW())-1774</f>
        <v>232</v>
      </c>
      <c r="S10" s="52" t="s">
        <v>64</v>
      </c>
      <c r="T10" s="32">
        <v>16</v>
      </c>
      <c r="U10" s="32" t="s">
        <v>52</v>
      </c>
      <c r="V10" s="32" t="s">
        <v>39</v>
      </c>
      <c r="W10" s="32"/>
      <c r="X10" s="32"/>
      <c r="Y10" s="32"/>
      <c r="Z10" s="55">
        <v>461000</v>
      </c>
      <c r="AA10" s="57">
        <v>857000</v>
      </c>
      <c r="AB10" s="57">
        <v>61</v>
      </c>
      <c r="AC10" s="32">
        <f t="shared" si="0"/>
        <v>6</v>
      </c>
      <c r="AD10" s="52" t="s">
        <v>65</v>
      </c>
    </row>
    <row r="11" spans="1:30" s="34" customFormat="1" ht="12.75">
      <c r="A11" s="52" t="s">
        <v>66</v>
      </c>
      <c r="B11" s="26">
        <f t="shared" si="1"/>
        <v>9</v>
      </c>
      <c r="C11" s="26" t="s">
        <v>67</v>
      </c>
      <c r="D11" s="26">
        <v>85</v>
      </c>
      <c r="E11" s="26">
        <v>53.55</v>
      </c>
      <c r="F11" s="26">
        <v>1.696</v>
      </c>
      <c r="G11" s="26">
        <v>18.9984</v>
      </c>
      <c r="H11" s="26">
        <v>1</v>
      </c>
      <c r="I11" s="26">
        <v>0.72</v>
      </c>
      <c r="J11" s="26">
        <v>0.57</v>
      </c>
      <c r="K11" s="26">
        <v>17.422</v>
      </c>
      <c r="L11" s="26">
        <v>0.824</v>
      </c>
      <c r="M11" s="32">
        <v>0.0279</v>
      </c>
      <c r="N11" s="32"/>
      <c r="O11" s="33">
        <v>0.26</v>
      </c>
      <c r="P11" s="26">
        <v>3.2698</v>
      </c>
      <c r="Q11" s="26">
        <v>3.98</v>
      </c>
      <c r="R11" s="32">
        <f ca="1">YEAR(NOW())-1866</f>
        <v>140</v>
      </c>
      <c r="S11" s="52" t="s">
        <v>68</v>
      </c>
      <c r="T11" s="32">
        <v>17</v>
      </c>
      <c r="U11" s="32" t="s">
        <v>52</v>
      </c>
      <c r="V11" s="32" t="s">
        <v>39</v>
      </c>
      <c r="W11" s="32"/>
      <c r="X11" s="32"/>
      <c r="Y11" s="32"/>
      <c r="Z11" s="55">
        <v>585</v>
      </c>
      <c r="AA11" s="57">
        <v>1.3</v>
      </c>
      <c r="AB11" s="57">
        <v>0.0033</v>
      </c>
      <c r="AC11" s="32">
        <f t="shared" si="0"/>
        <v>8</v>
      </c>
      <c r="AD11" s="52" t="s">
        <v>69</v>
      </c>
    </row>
    <row r="12" spans="1:30" s="34" customFormat="1" ht="12.75">
      <c r="A12" s="52" t="s">
        <v>70</v>
      </c>
      <c r="B12" s="26">
        <f t="shared" si="1"/>
        <v>10</v>
      </c>
      <c r="C12" s="26" t="s">
        <v>71</v>
      </c>
      <c r="D12" s="26">
        <v>27.1</v>
      </c>
      <c r="E12" s="26">
        <v>24.55</v>
      </c>
      <c r="F12" s="26">
        <v>0.9</v>
      </c>
      <c r="G12" s="26">
        <v>20.1797</v>
      </c>
      <c r="H12" s="26">
        <v>0</v>
      </c>
      <c r="I12" s="26">
        <v>0.71</v>
      </c>
      <c r="J12" s="26">
        <v>0.51</v>
      </c>
      <c r="K12" s="26">
        <v>21.564</v>
      </c>
      <c r="L12" s="26">
        <v>1.03</v>
      </c>
      <c r="M12" s="32">
        <v>0.0493</v>
      </c>
      <c r="N12" s="32"/>
      <c r="O12" s="33">
        <v>0.34</v>
      </c>
      <c r="P12" s="26">
        <v>1.77</v>
      </c>
      <c r="Q12" s="35"/>
      <c r="R12" s="32">
        <f ca="1">YEAR(NOW())-1898</f>
        <v>108</v>
      </c>
      <c r="S12" s="52" t="s">
        <v>38</v>
      </c>
      <c r="T12" s="32">
        <v>18</v>
      </c>
      <c r="U12" s="32" t="s">
        <v>52</v>
      </c>
      <c r="V12" s="32" t="s">
        <v>39</v>
      </c>
      <c r="W12" s="32"/>
      <c r="X12" s="32"/>
      <c r="Y12" s="32"/>
      <c r="Z12" s="55">
        <v>0.005</v>
      </c>
      <c r="AA12" s="57">
        <v>0.00012</v>
      </c>
      <c r="AB12" s="57"/>
      <c r="AC12" s="32">
        <f t="shared" si="0"/>
        <v>4</v>
      </c>
      <c r="AD12" s="52" t="s">
        <v>72</v>
      </c>
    </row>
    <row r="13" spans="1:30" ht="12.75">
      <c r="A13" s="51" t="s">
        <v>73</v>
      </c>
      <c r="B13" s="23">
        <f t="shared" si="1"/>
        <v>11</v>
      </c>
      <c r="C13" s="23" t="s">
        <v>74</v>
      </c>
      <c r="D13" s="23">
        <v>1156</v>
      </c>
      <c r="E13" s="23">
        <v>371</v>
      </c>
      <c r="F13" s="23">
        <v>0.97</v>
      </c>
      <c r="G13" s="23">
        <v>22.98977</v>
      </c>
      <c r="H13" s="23">
        <v>1</v>
      </c>
      <c r="I13" s="23">
        <v>1.54</v>
      </c>
      <c r="J13" s="23">
        <v>2.23</v>
      </c>
      <c r="K13" s="23">
        <v>5.139</v>
      </c>
      <c r="L13" s="23">
        <v>1.23</v>
      </c>
      <c r="M13" s="22">
        <v>141</v>
      </c>
      <c r="N13" s="22">
        <v>20.1</v>
      </c>
      <c r="O13" s="30">
        <v>2.601</v>
      </c>
      <c r="P13" s="23">
        <v>98.01</v>
      </c>
      <c r="Q13" s="23">
        <v>0.93</v>
      </c>
      <c r="R13" s="22">
        <f ca="1">YEAR(NOW())-1807</f>
        <v>199</v>
      </c>
      <c r="S13" s="51" t="s">
        <v>43</v>
      </c>
      <c r="T13" s="22">
        <v>1</v>
      </c>
      <c r="U13" s="22" t="s">
        <v>33</v>
      </c>
      <c r="V13" s="22" t="s">
        <v>34</v>
      </c>
      <c r="Z13" s="56">
        <v>0.000236</v>
      </c>
      <c r="AA13" s="58">
        <v>10800</v>
      </c>
      <c r="AB13" s="58">
        <v>0.14</v>
      </c>
      <c r="AC13" s="32">
        <f t="shared" si="0"/>
        <v>6</v>
      </c>
      <c r="AD13" s="51" t="s">
        <v>75</v>
      </c>
    </row>
    <row r="14" spans="1:30" ht="12.75">
      <c r="A14" s="51" t="s">
        <v>76</v>
      </c>
      <c r="B14" s="23">
        <f t="shared" si="1"/>
        <v>12</v>
      </c>
      <c r="C14" s="23" t="s">
        <v>77</v>
      </c>
      <c r="D14" s="23">
        <v>1380</v>
      </c>
      <c r="E14" s="23">
        <v>922</v>
      </c>
      <c r="F14" s="23">
        <v>1.74</v>
      </c>
      <c r="G14" s="23">
        <v>24.305</v>
      </c>
      <c r="H14" s="23">
        <v>2</v>
      </c>
      <c r="I14" s="23">
        <v>1.36</v>
      </c>
      <c r="J14" s="23">
        <v>1.72</v>
      </c>
      <c r="K14" s="23">
        <v>7.646</v>
      </c>
      <c r="L14" s="23">
        <v>1.02</v>
      </c>
      <c r="M14" s="22">
        <v>156</v>
      </c>
      <c r="N14" s="22">
        <v>22.4</v>
      </c>
      <c r="O14" s="30">
        <v>8.95</v>
      </c>
      <c r="P14" s="23">
        <v>127.6</v>
      </c>
      <c r="Q14" s="23">
        <v>1.31</v>
      </c>
      <c r="R14" s="22">
        <f ca="1">YEAR(NOW())-1808</f>
        <v>198</v>
      </c>
      <c r="S14" s="51" t="s">
        <v>47</v>
      </c>
      <c r="T14" s="22">
        <v>2</v>
      </c>
      <c r="U14" s="22" t="s">
        <v>33</v>
      </c>
      <c r="V14" s="22" t="s">
        <v>34</v>
      </c>
      <c r="Z14" s="56">
        <v>23300</v>
      </c>
      <c r="AA14" s="58">
        <v>1290</v>
      </c>
      <c r="AB14" s="58">
        <v>0.027</v>
      </c>
      <c r="AC14" s="32">
        <f t="shared" si="0"/>
        <v>9</v>
      </c>
      <c r="AD14" s="51" t="s">
        <v>78</v>
      </c>
    </row>
    <row r="15" spans="1:30" ht="12.75">
      <c r="A15" s="51" t="s">
        <v>79</v>
      </c>
      <c r="B15" s="23">
        <f t="shared" si="1"/>
        <v>13</v>
      </c>
      <c r="C15" s="23" t="s">
        <v>80</v>
      </c>
      <c r="D15" s="23">
        <v>2740</v>
      </c>
      <c r="E15" s="23">
        <v>933.5</v>
      </c>
      <c r="F15" s="23">
        <v>2.7</v>
      </c>
      <c r="G15" s="23">
        <v>26.98154</v>
      </c>
      <c r="H15" s="23">
        <v>3</v>
      </c>
      <c r="I15" s="23">
        <v>1.18</v>
      </c>
      <c r="J15" s="23">
        <v>1.62</v>
      </c>
      <c r="K15" s="23">
        <v>5.986</v>
      </c>
      <c r="L15" s="23">
        <v>0.9</v>
      </c>
      <c r="M15" s="22">
        <v>237</v>
      </c>
      <c r="N15" s="22">
        <v>37.7</v>
      </c>
      <c r="O15" s="30">
        <v>10.7</v>
      </c>
      <c r="P15" s="23">
        <v>290.8</v>
      </c>
      <c r="Q15" s="23">
        <v>1.61</v>
      </c>
      <c r="R15" s="22">
        <f ca="1">YEAR(NOW())-1825</f>
        <v>181</v>
      </c>
      <c r="S15" s="51" t="s">
        <v>51</v>
      </c>
      <c r="T15" s="22">
        <v>13</v>
      </c>
      <c r="U15" s="22" t="s">
        <v>52</v>
      </c>
      <c r="V15" s="22" t="s">
        <v>34</v>
      </c>
      <c r="Z15" s="56">
        <v>82300</v>
      </c>
      <c r="AA15" s="58">
        <v>0.002</v>
      </c>
      <c r="AB15" s="58">
        <v>9E-05</v>
      </c>
      <c r="AC15" s="32">
        <f t="shared" si="0"/>
        <v>8</v>
      </c>
      <c r="AD15" s="51" t="s">
        <v>81</v>
      </c>
    </row>
    <row r="16" spans="1:30" ht="12.75">
      <c r="A16" s="51" t="s">
        <v>82</v>
      </c>
      <c r="B16" s="23">
        <f t="shared" si="1"/>
        <v>14</v>
      </c>
      <c r="C16" s="23" t="s">
        <v>83</v>
      </c>
      <c r="D16" s="23">
        <v>2630</v>
      </c>
      <c r="E16" s="23">
        <v>1683</v>
      </c>
      <c r="F16" s="23">
        <v>2.33</v>
      </c>
      <c r="G16" s="23">
        <v>28.0855</v>
      </c>
      <c r="H16" s="23">
        <v>4</v>
      </c>
      <c r="I16" s="23">
        <v>1.11</v>
      </c>
      <c r="J16" s="23">
        <v>1.44</v>
      </c>
      <c r="K16" s="23">
        <v>8.151</v>
      </c>
      <c r="L16" s="23">
        <v>0.7</v>
      </c>
      <c r="M16" s="22">
        <v>148</v>
      </c>
      <c r="N16" s="22">
        <v>0.0004</v>
      </c>
      <c r="O16" s="30">
        <v>50.2</v>
      </c>
      <c r="P16" s="23">
        <v>359</v>
      </c>
      <c r="Q16" s="23">
        <v>1.9</v>
      </c>
      <c r="R16" s="22">
        <f ca="1">YEAR(NOW())-1824</f>
        <v>182</v>
      </c>
      <c r="S16" s="51" t="s">
        <v>57</v>
      </c>
      <c r="T16" s="22">
        <v>14</v>
      </c>
      <c r="V16" s="22" t="s">
        <v>39</v>
      </c>
      <c r="W16" s="22">
        <v>2</v>
      </c>
      <c r="Z16" s="56">
        <v>282000</v>
      </c>
      <c r="AA16" s="58">
        <v>2.2</v>
      </c>
      <c r="AB16" s="58">
        <v>0.026</v>
      </c>
      <c r="AC16" s="32">
        <f t="shared" si="0"/>
        <v>7</v>
      </c>
      <c r="AD16" s="51" t="s">
        <v>84</v>
      </c>
    </row>
    <row r="17" spans="1:30" ht="12.75">
      <c r="A17" s="51" t="s">
        <v>85</v>
      </c>
      <c r="B17" s="23">
        <f t="shared" si="1"/>
        <v>15</v>
      </c>
      <c r="C17" s="23" t="s">
        <v>86</v>
      </c>
      <c r="D17" s="23">
        <v>553</v>
      </c>
      <c r="E17" s="23">
        <v>317.3</v>
      </c>
      <c r="F17" s="23">
        <v>1.82</v>
      </c>
      <c r="G17" s="23">
        <v>30.97376</v>
      </c>
      <c r="H17" s="23">
        <v>5</v>
      </c>
      <c r="I17" s="23">
        <v>1.06</v>
      </c>
      <c r="J17" s="23">
        <v>1.23</v>
      </c>
      <c r="K17" s="23">
        <v>10.486</v>
      </c>
      <c r="L17" s="23">
        <v>0.769</v>
      </c>
      <c r="M17" s="22">
        <v>0.235</v>
      </c>
      <c r="N17" s="22">
        <v>1E-16</v>
      </c>
      <c r="O17" s="30">
        <v>0.63</v>
      </c>
      <c r="P17" s="23">
        <v>12.4</v>
      </c>
      <c r="Q17" s="23">
        <v>2.19</v>
      </c>
      <c r="R17" s="22">
        <f ca="1">YEAR(NOW())-1669</f>
        <v>337</v>
      </c>
      <c r="S17" s="51" t="s">
        <v>60</v>
      </c>
      <c r="T17" s="22">
        <v>15</v>
      </c>
      <c r="U17" s="22" t="s">
        <v>52</v>
      </c>
      <c r="V17" s="22" t="s">
        <v>39</v>
      </c>
      <c r="W17" s="22">
        <v>5</v>
      </c>
      <c r="X17" s="22">
        <v>4</v>
      </c>
      <c r="Z17" s="56">
        <v>1050</v>
      </c>
      <c r="AA17" s="58">
        <v>0.06</v>
      </c>
      <c r="AB17" s="58">
        <v>1.1</v>
      </c>
      <c r="AC17" s="32">
        <f t="shared" si="0"/>
        <v>10</v>
      </c>
      <c r="AD17" s="51" t="s">
        <v>87</v>
      </c>
    </row>
    <row r="18" spans="1:30" ht="12.75">
      <c r="A18" s="51" t="s">
        <v>88</v>
      </c>
      <c r="B18" s="23">
        <f t="shared" si="1"/>
        <v>16</v>
      </c>
      <c r="C18" s="23" t="s">
        <v>89</v>
      </c>
      <c r="D18" s="23">
        <v>717.82</v>
      </c>
      <c r="E18" s="23">
        <v>392.2</v>
      </c>
      <c r="F18" s="23">
        <v>2.07</v>
      </c>
      <c r="G18" s="23">
        <v>32.066</v>
      </c>
      <c r="H18" s="23">
        <v>6</v>
      </c>
      <c r="I18" s="23">
        <v>1.02</v>
      </c>
      <c r="J18" s="23">
        <v>1.09</v>
      </c>
      <c r="K18" s="23">
        <v>10.36</v>
      </c>
      <c r="L18" s="23">
        <v>0.71</v>
      </c>
      <c r="M18" s="22">
        <v>0.269</v>
      </c>
      <c r="N18" s="22">
        <v>5E-16</v>
      </c>
      <c r="O18" s="30">
        <v>1.73</v>
      </c>
      <c r="P18" s="28">
        <v>10</v>
      </c>
      <c r="Q18" s="23">
        <v>2.58</v>
      </c>
      <c r="R18" s="22" t="s">
        <v>56</v>
      </c>
      <c r="S18" s="51" t="s">
        <v>64</v>
      </c>
      <c r="T18" s="22">
        <v>16</v>
      </c>
      <c r="U18" s="22" t="s">
        <v>52</v>
      </c>
      <c r="V18" s="22" t="s">
        <v>39</v>
      </c>
      <c r="W18" s="22">
        <v>4</v>
      </c>
      <c r="X18" s="22">
        <v>6</v>
      </c>
      <c r="Z18" s="56">
        <v>350</v>
      </c>
      <c r="AA18" s="58">
        <v>905</v>
      </c>
      <c r="AB18" s="58">
        <v>0.2</v>
      </c>
      <c r="AC18" s="32">
        <f t="shared" si="0"/>
        <v>6</v>
      </c>
      <c r="AD18" s="51" t="s">
        <v>90</v>
      </c>
    </row>
    <row r="19" spans="1:30" s="34" customFormat="1" ht="12.75">
      <c r="A19" s="52" t="s">
        <v>91</v>
      </c>
      <c r="B19" s="26">
        <f t="shared" si="1"/>
        <v>17</v>
      </c>
      <c r="C19" s="26" t="s">
        <v>92</v>
      </c>
      <c r="D19" s="26">
        <v>239.18</v>
      </c>
      <c r="E19" s="26">
        <v>172.17</v>
      </c>
      <c r="F19" s="26">
        <v>3.214</v>
      </c>
      <c r="G19" s="26">
        <v>35.4527</v>
      </c>
      <c r="H19" s="26">
        <v>1</v>
      </c>
      <c r="I19" s="26">
        <v>0.99</v>
      </c>
      <c r="J19" s="26">
        <v>0.97</v>
      </c>
      <c r="K19" s="26">
        <v>12.967</v>
      </c>
      <c r="L19" s="26">
        <v>0.48</v>
      </c>
      <c r="M19" s="32">
        <v>0.0089</v>
      </c>
      <c r="N19" s="32"/>
      <c r="O19" s="33">
        <v>3.21</v>
      </c>
      <c r="P19" s="26">
        <v>10.2</v>
      </c>
      <c r="Q19" s="26">
        <v>3.16</v>
      </c>
      <c r="R19" s="32">
        <f ca="1">YEAR(NOW())-1774</f>
        <v>232</v>
      </c>
      <c r="S19" s="52" t="s">
        <v>68</v>
      </c>
      <c r="T19" s="32">
        <v>17</v>
      </c>
      <c r="U19" s="32" t="s">
        <v>52</v>
      </c>
      <c r="V19" s="32" t="s">
        <v>39</v>
      </c>
      <c r="W19" s="32">
        <v>3</v>
      </c>
      <c r="X19" s="32">
        <v>5</v>
      </c>
      <c r="Y19" s="32">
        <v>7</v>
      </c>
      <c r="Z19" s="55">
        <v>145</v>
      </c>
      <c r="AA19" s="57">
        <v>19400</v>
      </c>
      <c r="AB19" s="57">
        <v>0.12</v>
      </c>
      <c r="AC19" s="32">
        <f t="shared" si="0"/>
        <v>8</v>
      </c>
      <c r="AD19" s="52" t="s">
        <v>93</v>
      </c>
    </row>
    <row r="20" spans="1:30" s="34" customFormat="1" ht="12.75">
      <c r="A20" s="52" t="s">
        <v>94</v>
      </c>
      <c r="B20" s="26">
        <f t="shared" si="1"/>
        <v>18</v>
      </c>
      <c r="C20" s="26" t="s">
        <v>95</v>
      </c>
      <c r="D20" s="26">
        <v>87.45</v>
      </c>
      <c r="E20" s="26">
        <v>83.95</v>
      </c>
      <c r="F20" s="26">
        <v>1.784</v>
      </c>
      <c r="G20" s="26">
        <v>39.948</v>
      </c>
      <c r="H20" s="26">
        <v>0</v>
      </c>
      <c r="I20" s="26">
        <v>0.98</v>
      </c>
      <c r="J20" s="26">
        <v>0.88</v>
      </c>
      <c r="K20" s="26">
        <v>15.759</v>
      </c>
      <c r="L20" s="26">
        <v>0.52</v>
      </c>
      <c r="M20" s="36">
        <v>0.0177</v>
      </c>
      <c r="N20" s="32"/>
      <c r="O20" s="33">
        <v>1.188</v>
      </c>
      <c r="P20" s="26">
        <v>6.506</v>
      </c>
      <c r="Q20" s="35"/>
      <c r="R20" s="32">
        <f ca="1">YEAR(NOW())-1894</f>
        <v>112</v>
      </c>
      <c r="S20" s="52" t="s">
        <v>38</v>
      </c>
      <c r="T20" s="32">
        <v>18</v>
      </c>
      <c r="U20" s="32" t="s">
        <v>52</v>
      </c>
      <c r="V20" s="32" t="s">
        <v>39</v>
      </c>
      <c r="W20" s="32"/>
      <c r="X20" s="32"/>
      <c r="Y20" s="32"/>
      <c r="Z20" s="55">
        <v>3.5</v>
      </c>
      <c r="AA20" s="57">
        <v>0.45</v>
      </c>
      <c r="AB20" s="57"/>
      <c r="AC20" s="32">
        <f aca="true" t="shared" si="2" ref="AC20:AC35">LEN(A20)</f>
        <v>5</v>
      </c>
      <c r="AD20" s="52" t="s">
        <v>96</v>
      </c>
    </row>
    <row r="21" spans="1:30" ht="12.75">
      <c r="A21" s="51" t="s">
        <v>97</v>
      </c>
      <c r="B21" s="23">
        <f aca="true" t="shared" si="3" ref="B21:B36">B20+1</f>
        <v>19</v>
      </c>
      <c r="C21" s="23" t="s">
        <v>98</v>
      </c>
      <c r="D21" s="23">
        <v>1033</v>
      </c>
      <c r="E21" s="23">
        <v>336.8</v>
      </c>
      <c r="F21" s="23">
        <v>0.86</v>
      </c>
      <c r="G21" s="23">
        <v>39.0983</v>
      </c>
      <c r="H21" s="23">
        <v>1</v>
      </c>
      <c r="I21" s="23">
        <v>2.03</v>
      </c>
      <c r="J21" s="23">
        <v>2.77</v>
      </c>
      <c r="K21" s="23">
        <v>4.341</v>
      </c>
      <c r="L21" s="23">
        <v>0.757</v>
      </c>
      <c r="M21" s="22">
        <v>102.5</v>
      </c>
      <c r="N21" s="22">
        <v>16.4</v>
      </c>
      <c r="O21" s="30">
        <v>2.33</v>
      </c>
      <c r="P21" s="23">
        <v>76.9</v>
      </c>
      <c r="Q21" s="23">
        <v>0.82</v>
      </c>
      <c r="R21" s="22">
        <f ca="1">YEAR(NOW())-1807</f>
        <v>199</v>
      </c>
      <c r="S21" s="51" t="s">
        <v>43</v>
      </c>
      <c r="T21" s="22">
        <v>1</v>
      </c>
      <c r="U21" s="22" t="s">
        <v>33</v>
      </c>
      <c r="V21" s="22" t="s">
        <v>34</v>
      </c>
      <c r="Z21" s="56">
        <v>20900</v>
      </c>
      <c r="AA21" s="58">
        <v>399</v>
      </c>
      <c r="AB21" s="58">
        <v>0.2</v>
      </c>
      <c r="AC21" s="32">
        <f t="shared" si="2"/>
        <v>9</v>
      </c>
      <c r="AD21" s="51" t="s">
        <v>99</v>
      </c>
    </row>
    <row r="22" spans="1:30" ht="12.75">
      <c r="A22" s="51" t="s">
        <v>100</v>
      </c>
      <c r="B22" s="23">
        <f t="shared" si="3"/>
        <v>20</v>
      </c>
      <c r="C22" s="23" t="s">
        <v>101</v>
      </c>
      <c r="D22" s="23">
        <v>1757</v>
      </c>
      <c r="E22" s="23">
        <v>1112</v>
      </c>
      <c r="F22" s="23">
        <v>1.55</v>
      </c>
      <c r="G22" s="23">
        <v>40.078</v>
      </c>
      <c r="H22" s="23">
        <v>2</v>
      </c>
      <c r="I22" s="23">
        <v>1.74</v>
      </c>
      <c r="J22" s="23">
        <v>2.23</v>
      </c>
      <c r="K22" s="23">
        <v>6.113</v>
      </c>
      <c r="L22" s="23">
        <v>0.647</v>
      </c>
      <c r="M22" s="22">
        <v>200</v>
      </c>
      <c r="N22" s="22">
        <v>31.3</v>
      </c>
      <c r="O22" s="30">
        <v>8.53</v>
      </c>
      <c r="P22" s="23">
        <v>154.67</v>
      </c>
      <c r="Q22" s="23">
        <v>1</v>
      </c>
      <c r="R22" s="22">
        <f ca="1">YEAR(NOW())-1808</f>
        <v>198</v>
      </c>
      <c r="S22" s="51" t="s">
        <v>47</v>
      </c>
      <c r="T22" s="22">
        <v>2</v>
      </c>
      <c r="U22" s="22" t="s">
        <v>33</v>
      </c>
      <c r="V22" s="22" t="s">
        <v>34</v>
      </c>
      <c r="Z22" s="56">
        <v>41500</v>
      </c>
      <c r="AA22" s="58">
        <v>412</v>
      </c>
      <c r="AB22" s="58">
        <v>1.4</v>
      </c>
      <c r="AC22" s="32">
        <f t="shared" si="2"/>
        <v>7</v>
      </c>
      <c r="AD22" s="51" t="s">
        <v>102</v>
      </c>
    </row>
    <row r="23" spans="1:30" ht="12.75">
      <c r="A23" s="51" t="s">
        <v>103</v>
      </c>
      <c r="B23" s="23">
        <f t="shared" si="3"/>
        <v>21</v>
      </c>
      <c r="C23" s="23" t="s">
        <v>104</v>
      </c>
      <c r="D23" s="23">
        <v>3109</v>
      </c>
      <c r="E23" s="23">
        <v>1814</v>
      </c>
      <c r="F23" s="23">
        <v>2.99</v>
      </c>
      <c r="G23" s="23">
        <v>44.9559</v>
      </c>
      <c r="H23" s="23">
        <v>3</v>
      </c>
      <c r="I23" s="23">
        <v>1.44</v>
      </c>
      <c r="J23" s="23">
        <v>2.09</v>
      </c>
      <c r="K23" s="23">
        <v>6.54</v>
      </c>
      <c r="L23" s="23">
        <v>0.568</v>
      </c>
      <c r="M23" s="22">
        <v>15.8</v>
      </c>
      <c r="N23" s="22">
        <v>1.5</v>
      </c>
      <c r="O23" s="30">
        <v>16.11</v>
      </c>
      <c r="P23" s="23">
        <v>304.8</v>
      </c>
      <c r="Q23" s="23">
        <v>1.36</v>
      </c>
      <c r="R23" s="22">
        <f ca="1">YEAR(NOW())-1870</f>
        <v>136</v>
      </c>
      <c r="S23" s="51" t="s">
        <v>105</v>
      </c>
      <c r="T23" s="22">
        <v>3</v>
      </c>
      <c r="U23" s="22" t="s">
        <v>106</v>
      </c>
      <c r="V23" s="22" t="s">
        <v>34</v>
      </c>
      <c r="Z23" s="56">
        <v>22</v>
      </c>
      <c r="AA23" s="58">
        <v>6E-07</v>
      </c>
      <c r="AC23" s="32">
        <f t="shared" si="2"/>
        <v>8</v>
      </c>
      <c r="AD23" s="51" t="s">
        <v>107</v>
      </c>
    </row>
    <row r="24" spans="1:30" ht="12.75">
      <c r="A24" s="51" t="s">
        <v>108</v>
      </c>
      <c r="B24" s="23">
        <f t="shared" si="3"/>
        <v>22</v>
      </c>
      <c r="C24" s="23" t="s">
        <v>109</v>
      </c>
      <c r="D24" s="23">
        <v>3560</v>
      </c>
      <c r="E24" s="23">
        <v>1935</v>
      </c>
      <c r="F24" s="23">
        <v>4.54</v>
      </c>
      <c r="G24" s="23">
        <v>47.88</v>
      </c>
      <c r="H24" s="23">
        <v>4</v>
      </c>
      <c r="I24" s="23">
        <v>1.32</v>
      </c>
      <c r="J24" s="23">
        <v>2</v>
      </c>
      <c r="K24" s="23">
        <v>6.82</v>
      </c>
      <c r="L24" s="23">
        <v>0.523</v>
      </c>
      <c r="M24" s="22">
        <v>21.9</v>
      </c>
      <c r="N24" s="22">
        <v>2.6</v>
      </c>
      <c r="O24" s="30">
        <v>18.6</v>
      </c>
      <c r="P24" s="23">
        <v>425.2</v>
      </c>
      <c r="Q24" s="23">
        <v>1.54</v>
      </c>
      <c r="R24" s="22">
        <f ca="1">YEAR(NOW())-1791</f>
        <v>215</v>
      </c>
      <c r="S24" s="51" t="s">
        <v>105</v>
      </c>
      <c r="T24" s="22">
        <v>4</v>
      </c>
      <c r="U24" s="22" t="s">
        <v>106</v>
      </c>
      <c r="V24" s="22" t="s">
        <v>34</v>
      </c>
      <c r="W24" s="22">
        <v>3</v>
      </c>
      <c r="Z24" s="56">
        <v>5650</v>
      </c>
      <c r="AA24" s="58">
        <v>0.001</v>
      </c>
      <c r="AC24" s="32">
        <f t="shared" si="2"/>
        <v>8</v>
      </c>
      <c r="AD24" s="51" t="s">
        <v>110</v>
      </c>
    </row>
    <row r="25" spans="1:30" ht="12.75">
      <c r="A25" s="51" t="s">
        <v>111</v>
      </c>
      <c r="B25" s="23">
        <f t="shared" si="3"/>
        <v>23</v>
      </c>
      <c r="C25" s="23" t="s">
        <v>112</v>
      </c>
      <c r="D25" s="23">
        <v>3650</v>
      </c>
      <c r="E25" s="23">
        <v>2163</v>
      </c>
      <c r="F25" s="23">
        <v>6.11</v>
      </c>
      <c r="G25" s="23">
        <v>50.9415</v>
      </c>
      <c r="H25" s="23">
        <v>5</v>
      </c>
      <c r="I25" s="23">
        <v>1.22</v>
      </c>
      <c r="J25" s="23">
        <v>1.92</v>
      </c>
      <c r="K25" s="23">
        <v>6.74</v>
      </c>
      <c r="L25" s="23">
        <v>0.489</v>
      </c>
      <c r="M25" s="22">
        <v>30.7</v>
      </c>
      <c r="N25" s="22">
        <v>4</v>
      </c>
      <c r="O25" s="30">
        <v>22.8</v>
      </c>
      <c r="P25" s="23">
        <v>446.7</v>
      </c>
      <c r="Q25" s="23">
        <v>1.63</v>
      </c>
      <c r="R25" s="22">
        <f ca="1">YEAR(NOW())-1830</f>
        <v>176</v>
      </c>
      <c r="S25" s="51" t="s">
        <v>105</v>
      </c>
      <c r="T25" s="22">
        <v>5</v>
      </c>
      <c r="U25" s="22" t="s">
        <v>106</v>
      </c>
      <c r="V25" s="22" t="s">
        <v>34</v>
      </c>
      <c r="W25" s="22">
        <v>4</v>
      </c>
      <c r="X25" s="22">
        <v>3</v>
      </c>
      <c r="Y25" s="22">
        <v>2</v>
      </c>
      <c r="Z25" s="56">
        <v>120</v>
      </c>
      <c r="AA25" s="58">
        <v>0.0025</v>
      </c>
      <c r="AC25" s="32">
        <f t="shared" si="2"/>
        <v>8</v>
      </c>
      <c r="AD25" s="51" t="s">
        <v>113</v>
      </c>
    </row>
    <row r="26" spans="1:30" ht="12.75">
      <c r="A26" s="51" t="s">
        <v>114</v>
      </c>
      <c r="B26" s="23">
        <f t="shared" si="3"/>
        <v>24</v>
      </c>
      <c r="C26" s="23" t="s">
        <v>115</v>
      </c>
      <c r="D26" s="23">
        <v>2945</v>
      </c>
      <c r="E26" s="23">
        <v>2130</v>
      </c>
      <c r="F26" s="23">
        <v>7.19</v>
      </c>
      <c r="G26" s="23">
        <v>51.996</v>
      </c>
      <c r="H26" s="23">
        <v>3</v>
      </c>
      <c r="I26" s="23">
        <v>1.18</v>
      </c>
      <c r="J26" s="23">
        <v>1.85</v>
      </c>
      <c r="K26" s="23">
        <v>6.766</v>
      </c>
      <c r="L26" s="23">
        <v>0.449</v>
      </c>
      <c r="M26" s="22">
        <v>93.7</v>
      </c>
      <c r="N26" s="22">
        <v>7.9</v>
      </c>
      <c r="O26" s="30">
        <v>20</v>
      </c>
      <c r="P26" s="23">
        <v>339.5</v>
      </c>
      <c r="Q26" s="23">
        <v>1.66</v>
      </c>
      <c r="R26" s="22">
        <f ca="1">YEAR(NOW())-1797</f>
        <v>209</v>
      </c>
      <c r="S26" s="51" t="s">
        <v>105</v>
      </c>
      <c r="T26" s="22">
        <v>6</v>
      </c>
      <c r="U26" s="22" t="s">
        <v>106</v>
      </c>
      <c r="V26" s="22" t="s">
        <v>34</v>
      </c>
      <c r="W26" s="22">
        <v>6</v>
      </c>
      <c r="X26" s="22">
        <v>2</v>
      </c>
      <c r="Z26" s="56">
        <v>102</v>
      </c>
      <c r="AA26" s="58">
        <v>0.0003</v>
      </c>
      <c r="AB26" s="58">
        <v>3E-06</v>
      </c>
      <c r="AC26" s="32">
        <f t="shared" si="2"/>
        <v>8</v>
      </c>
      <c r="AD26" s="51" t="s">
        <v>116</v>
      </c>
    </row>
    <row r="27" spans="1:30" ht="12.75">
      <c r="A27" s="51" t="s">
        <v>117</v>
      </c>
      <c r="B27" s="23">
        <f t="shared" si="3"/>
        <v>25</v>
      </c>
      <c r="C27" s="23" t="s">
        <v>118</v>
      </c>
      <c r="D27" s="23">
        <v>2235</v>
      </c>
      <c r="E27" s="23">
        <v>1518</v>
      </c>
      <c r="F27" s="23">
        <v>7.44</v>
      </c>
      <c r="G27" s="23">
        <v>54.938</v>
      </c>
      <c r="H27" s="23">
        <v>4</v>
      </c>
      <c r="I27" s="23">
        <v>1.17</v>
      </c>
      <c r="J27" s="23">
        <v>1.79</v>
      </c>
      <c r="K27" s="23">
        <v>7.435</v>
      </c>
      <c r="L27" s="23">
        <v>0.48</v>
      </c>
      <c r="M27" s="22">
        <v>7.82</v>
      </c>
      <c r="N27" s="22">
        <v>0.5</v>
      </c>
      <c r="O27" s="30">
        <v>14.64</v>
      </c>
      <c r="P27" s="23">
        <v>219.74</v>
      </c>
      <c r="Q27" s="23">
        <v>1.55</v>
      </c>
      <c r="R27" s="22">
        <f ca="1">YEAR(NOW())-1774</f>
        <v>232</v>
      </c>
      <c r="S27" s="51" t="s">
        <v>105</v>
      </c>
      <c r="T27" s="22">
        <v>7</v>
      </c>
      <c r="U27" s="22" t="s">
        <v>106</v>
      </c>
      <c r="V27" s="22" t="s">
        <v>34</v>
      </c>
      <c r="W27" s="22">
        <v>2</v>
      </c>
      <c r="X27" s="22">
        <v>7</v>
      </c>
      <c r="Y27" s="22">
        <v>6</v>
      </c>
      <c r="Z27" s="56">
        <v>950</v>
      </c>
      <c r="AA27" s="58">
        <v>0.0002</v>
      </c>
      <c r="AB27" s="58">
        <v>2E-05</v>
      </c>
      <c r="AC27" s="32">
        <f t="shared" si="2"/>
        <v>9</v>
      </c>
      <c r="AD27" s="51" t="s">
        <v>119</v>
      </c>
    </row>
    <row r="28" spans="1:30" ht="12.75">
      <c r="A28" s="51" t="s">
        <v>120</v>
      </c>
      <c r="B28" s="23">
        <f t="shared" si="3"/>
        <v>26</v>
      </c>
      <c r="C28" s="23" t="s">
        <v>121</v>
      </c>
      <c r="D28" s="23">
        <v>3023</v>
      </c>
      <c r="E28" s="23">
        <v>1808</v>
      </c>
      <c r="F28" s="23">
        <v>7.874</v>
      </c>
      <c r="G28" s="23">
        <v>55.847</v>
      </c>
      <c r="H28" s="23">
        <v>3</v>
      </c>
      <c r="I28" s="23">
        <v>1.17</v>
      </c>
      <c r="J28" s="23">
        <v>1.72</v>
      </c>
      <c r="K28" s="23">
        <v>7.87</v>
      </c>
      <c r="L28" s="23">
        <v>0.449</v>
      </c>
      <c r="M28" s="22">
        <v>80.2</v>
      </c>
      <c r="N28" s="22">
        <v>11.2</v>
      </c>
      <c r="O28" s="30">
        <v>13.8</v>
      </c>
      <c r="P28" s="23">
        <v>349.5</v>
      </c>
      <c r="Q28" s="23">
        <v>1.83</v>
      </c>
      <c r="R28" s="22" t="s">
        <v>56</v>
      </c>
      <c r="S28" s="51" t="s">
        <v>105</v>
      </c>
      <c r="T28" s="22">
        <v>8</v>
      </c>
      <c r="U28" s="22" t="s">
        <v>106</v>
      </c>
      <c r="V28" s="22" t="s">
        <v>34</v>
      </c>
      <c r="W28" s="22">
        <v>3</v>
      </c>
      <c r="Z28" s="56">
        <v>56300</v>
      </c>
      <c r="AA28" s="58">
        <v>0.002</v>
      </c>
      <c r="AB28" s="58">
        <v>0.006</v>
      </c>
      <c r="AC28" s="32">
        <f t="shared" si="2"/>
        <v>4</v>
      </c>
      <c r="AD28" s="51" t="s">
        <v>122</v>
      </c>
    </row>
    <row r="29" spans="1:30" ht="12.75">
      <c r="A29" s="51" t="s">
        <v>123</v>
      </c>
      <c r="B29" s="23">
        <f t="shared" si="3"/>
        <v>27</v>
      </c>
      <c r="C29" s="23" t="s">
        <v>124</v>
      </c>
      <c r="D29" s="23">
        <v>3143</v>
      </c>
      <c r="E29" s="23">
        <v>1768</v>
      </c>
      <c r="F29" s="23">
        <v>8.9</v>
      </c>
      <c r="G29" s="23">
        <v>58.9332</v>
      </c>
      <c r="H29" s="23">
        <v>2</v>
      </c>
      <c r="I29" s="23">
        <v>1.16</v>
      </c>
      <c r="J29" s="23">
        <v>1.67</v>
      </c>
      <c r="K29" s="23">
        <v>7.86</v>
      </c>
      <c r="L29" s="23">
        <v>0.421</v>
      </c>
      <c r="M29" s="22">
        <v>100</v>
      </c>
      <c r="N29" s="22">
        <v>17.9</v>
      </c>
      <c r="O29" s="30">
        <v>16.19</v>
      </c>
      <c r="P29" s="23">
        <v>373.3</v>
      </c>
      <c r="Q29" s="23">
        <v>1.88</v>
      </c>
      <c r="R29" s="22">
        <f ca="1">YEAR(NOW())-1735</f>
        <v>271</v>
      </c>
      <c r="S29" s="51" t="s">
        <v>105</v>
      </c>
      <c r="T29" s="22">
        <v>9</v>
      </c>
      <c r="U29" s="22" t="s">
        <v>106</v>
      </c>
      <c r="V29" s="22" t="s">
        <v>34</v>
      </c>
      <c r="W29" s="22">
        <v>3</v>
      </c>
      <c r="Z29" s="56">
        <v>25</v>
      </c>
      <c r="AA29" s="58">
        <v>2E-05</v>
      </c>
      <c r="AB29" s="58">
        <v>2E-06</v>
      </c>
      <c r="AC29" s="32">
        <f t="shared" si="2"/>
        <v>6</v>
      </c>
      <c r="AD29" s="51" t="s">
        <v>125</v>
      </c>
    </row>
    <row r="30" spans="1:30" ht="12.75">
      <c r="A30" s="51" t="s">
        <v>126</v>
      </c>
      <c r="B30" s="23">
        <f t="shared" si="3"/>
        <v>28</v>
      </c>
      <c r="C30" s="23" t="s">
        <v>127</v>
      </c>
      <c r="D30" s="23">
        <v>3005</v>
      </c>
      <c r="E30" s="23">
        <v>1726</v>
      </c>
      <c r="F30" s="23">
        <v>8.9</v>
      </c>
      <c r="G30" s="23">
        <v>58.6934</v>
      </c>
      <c r="H30" s="23">
        <v>2</v>
      </c>
      <c r="I30" s="23">
        <v>1.15</v>
      </c>
      <c r="J30" s="23">
        <v>1.62</v>
      </c>
      <c r="K30" s="23">
        <v>7.635</v>
      </c>
      <c r="L30" s="23">
        <v>0.444</v>
      </c>
      <c r="M30" s="22">
        <v>90.7</v>
      </c>
      <c r="N30" s="22">
        <v>14.6</v>
      </c>
      <c r="O30" s="30">
        <v>17.2</v>
      </c>
      <c r="P30" s="23">
        <v>377.5</v>
      </c>
      <c r="Q30" s="23">
        <v>1.91</v>
      </c>
      <c r="R30" s="22">
        <f ca="1">YEAR(NOW())-1751</f>
        <v>255</v>
      </c>
      <c r="S30" s="51" t="s">
        <v>105</v>
      </c>
      <c r="T30" s="22">
        <v>10</v>
      </c>
      <c r="U30" s="22" t="s">
        <v>106</v>
      </c>
      <c r="V30" s="22" t="s">
        <v>34</v>
      </c>
      <c r="W30" s="22">
        <v>3</v>
      </c>
      <c r="Z30" s="56">
        <v>84</v>
      </c>
      <c r="AA30" s="58">
        <v>5.6E-14</v>
      </c>
      <c r="AB30" s="58">
        <v>1E-05</v>
      </c>
      <c r="AC30" s="32">
        <f t="shared" si="2"/>
        <v>6</v>
      </c>
      <c r="AD30" s="51" t="s">
        <v>128</v>
      </c>
    </row>
    <row r="31" spans="1:30" ht="12.75">
      <c r="A31" s="51" t="s">
        <v>129</v>
      </c>
      <c r="B31" s="23">
        <f t="shared" si="3"/>
        <v>29</v>
      </c>
      <c r="C31" s="23" t="s">
        <v>130</v>
      </c>
      <c r="D31" s="23">
        <v>2840</v>
      </c>
      <c r="E31" s="23">
        <v>1356.6</v>
      </c>
      <c r="F31" s="23">
        <v>8.96</v>
      </c>
      <c r="G31" s="23">
        <v>63.456</v>
      </c>
      <c r="H31" s="23">
        <v>2</v>
      </c>
      <c r="I31" s="23">
        <v>1.17</v>
      </c>
      <c r="J31" s="23">
        <v>1.57</v>
      </c>
      <c r="K31" s="23">
        <v>7.726</v>
      </c>
      <c r="L31" s="23">
        <v>0.385</v>
      </c>
      <c r="M31" s="22">
        <v>401</v>
      </c>
      <c r="N31" s="22">
        <v>60.7</v>
      </c>
      <c r="O31" s="30">
        <v>13.14</v>
      </c>
      <c r="P31" s="23">
        <v>300.5</v>
      </c>
      <c r="Q31" s="23">
        <v>1.9</v>
      </c>
      <c r="R31" s="22" t="s">
        <v>56</v>
      </c>
      <c r="S31" s="51" t="s">
        <v>105</v>
      </c>
      <c r="T31" s="22">
        <v>11</v>
      </c>
      <c r="U31" s="22" t="s">
        <v>106</v>
      </c>
      <c r="V31" s="22" t="s">
        <v>34</v>
      </c>
      <c r="W31" s="22">
        <v>1</v>
      </c>
      <c r="Z31" s="56">
        <v>60</v>
      </c>
      <c r="AA31" s="58">
        <v>2.5E-14</v>
      </c>
      <c r="AB31" s="58">
        <v>0.0001</v>
      </c>
      <c r="AC31" s="32">
        <f t="shared" si="2"/>
        <v>6</v>
      </c>
      <c r="AD31" s="51" t="s">
        <v>131</v>
      </c>
    </row>
    <row r="32" spans="1:30" ht="12.75">
      <c r="A32" s="51" t="s">
        <v>132</v>
      </c>
      <c r="B32" s="23">
        <f t="shared" si="3"/>
        <v>30</v>
      </c>
      <c r="C32" s="23" t="s">
        <v>133</v>
      </c>
      <c r="D32" s="23">
        <v>1180</v>
      </c>
      <c r="E32" s="23">
        <v>692.73</v>
      </c>
      <c r="F32" s="23">
        <v>7.13</v>
      </c>
      <c r="G32" s="23">
        <v>65.39</v>
      </c>
      <c r="H32" s="23">
        <v>2</v>
      </c>
      <c r="I32" s="23">
        <v>1.25</v>
      </c>
      <c r="J32" s="23">
        <v>1.53</v>
      </c>
      <c r="K32" s="23">
        <v>9.394</v>
      </c>
      <c r="L32" s="23">
        <v>0.388</v>
      </c>
      <c r="M32" s="22">
        <v>116</v>
      </c>
      <c r="N32" s="22">
        <v>16.9</v>
      </c>
      <c r="O32" s="30">
        <v>7.38</v>
      </c>
      <c r="P32" s="23">
        <v>115.3</v>
      </c>
      <c r="Q32" s="23">
        <v>1.65</v>
      </c>
      <c r="R32" s="22">
        <f ca="1">YEAR(NOW())-1250</f>
        <v>756</v>
      </c>
      <c r="S32" s="51" t="s">
        <v>105</v>
      </c>
      <c r="T32" s="22">
        <v>12</v>
      </c>
      <c r="U32" s="22" t="s">
        <v>106</v>
      </c>
      <c r="V32" s="22" t="s">
        <v>34</v>
      </c>
      <c r="Z32" s="56">
        <v>70</v>
      </c>
      <c r="AA32" s="58">
        <v>0.0049</v>
      </c>
      <c r="AB32" s="58">
        <v>0.0033</v>
      </c>
      <c r="AC32" s="32">
        <f t="shared" si="2"/>
        <v>4</v>
      </c>
      <c r="AD32" s="51" t="s">
        <v>134</v>
      </c>
    </row>
    <row r="33" spans="1:30" ht="12.75">
      <c r="A33" s="51" t="s">
        <v>135</v>
      </c>
      <c r="B33" s="23">
        <f t="shared" si="3"/>
        <v>31</v>
      </c>
      <c r="C33" s="23" t="s">
        <v>136</v>
      </c>
      <c r="D33" s="23">
        <v>2478</v>
      </c>
      <c r="E33" s="23">
        <v>302.92</v>
      </c>
      <c r="F33" s="23">
        <v>5.91</v>
      </c>
      <c r="G33" s="23">
        <v>69.723</v>
      </c>
      <c r="H33" s="23">
        <v>3</v>
      </c>
      <c r="I33" s="23">
        <v>1.26</v>
      </c>
      <c r="J33" s="23">
        <v>1.81</v>
      </c>
      <c r="K33" s="23">
        <v>5.999</v>
      </c>
      <c r="L33" s="23">
        <v>0.371</v>
      </c>
      <c r="M33" s="22">
        <v>40.6</v>
      </c>
      <c r="N33" s="22">
        <v>1.8</v>
      </c>
      <c r="O33" s="30">
        <v>5.59</v>
      </c>
      <c r="P33" s="23">
        <v>256.06</v>
      </c>
      <c r="Q33" s="23">
        <v>1.81</v>
      </c>
      <c r="R33" s="22">
        <f ca="1">YEAR(NOW())-1875</f>
        <v>131</v>
      </c>
      <c r="S33" s="51" t="s">
        <v>51</v>
      </c>
      <c r="T33" s="22">
        <v>13</v>
      </c>
      <c r="U33" s="22" t="s">
        <v>52</v>
      </c>
      <c r="V33" s="22" t="s">
        <v>34</v>
      </c>
      <c r="Z33" s="56">
        <v>19</v>
      </c>
      <c r="AA33" s="58">
        <v>3E-05</v>
      </c>
      <c r="AC33" s="32">
        <f t="shared" si="2"/>
        <v>7</v>
      </c>
      <c r="AD33" s="51" t="s">
        <v>137</v>
      </c>
    </row>
    <row r="34" spans="1:30" ht="12.75">
      <c r="A34" s="51" t="s">
        <v>138</v>
      </c>
      <c r="B34" s="23">
        <f t="shared" si="3"/>
        <v>32</v>
      </c>
      <c r="C34" s="23" t="s">
        <v>139</v>
      </c>
      <c r="D34" s="23">
        <v>3107</v>
      </c>
      <c r="E34" s="23">
        <v>1211.5</v>
      </c>
      <c r="F34" s="23">
        <v>5.32</v>
      </c>
      <c r="G34" s="23">
        <v>72.61</v>
      </c>
      <c r="H34" s="23">
        <v>4</v>
      </c>
      <c r="I34" s="23">
        <v>1.22</v>
      </c>
      <c r="J34" s="23">
        <v>1.52</v>
      </c>
      <c r="K34" s="23">
        <v>7.899</v>
      </c>
      <c r="L34" s="23">
        <v>0.32</v>
      </c>
      <c r="M34" s="22">
        <v>59.9</v>
      </c>
      <c r="N34" s="22">
        <v>3E-06</v>
      </c>
      <c r="O34" s="30">
        <v>31.8</v>
      </c>
      <c r="P34" s="23">
        <v>334.3</v>
      </c>
      <c r="Q34" s="23">
        <v>2.01</v>
      </c>
      <c r="R34" s="22">
        <f ca="1">YEAR(NOW())-1886</f>
        <v>120</v>
      </c>
      <c r="S34" s="51" t="s">
        <v>57</v>
      </c>
      <c r="T34" s="22">
        <v>14</v>
      </c>
      <c r="U34" s="22" t="s">
        <v>52</v>
      </c>
      <c r="V34" s="22" t="s">
        <v>34</v>
      </c>
      <c r="Z34" s="56">
        <v>1.5</v>
      </c>
      <c r="AA34" s="58">
        <v>5E-05</v>
      </c>
      <c r="AC34" s="32">
        <f t="shared" si="2"/>
        <v>9</v>
      </c>
      <c r="AD34" s="51" t="s">
        <v>140</v>
      </c>
    </row>
    <row r="35" spans="1:30" ht="12.75">
      <c r="A35" s="51" t="s">
        <v>141</v>
      </c>
      <c r="B35" s="23">
        <f t="shared" si="3"/>
        <v>33</v>
      </c>
      <c r="C35" s="23" t="s">
        <v>142</v>
      </c>
      <c r="D35" s="26">
        <v>876</v>
      </c>
      <c r="E35" s="26">
        <v>1090</v>
      </c>
      <c r="F35" s="23">
        <v>5.78</v>
      </c>
      <c r="G35" s="23">
        <v>74.9216</v>
      </c>
      <c r="H35" s="23">
        <v>3</v>
      </c>
      <c r="I35" s="23">
        <v>1.2</v>
      </c>
      <c r="J35" s="23">
        <v>1.33</v>
      </c>
      <c r="K35" s="23">
        <v>9.81</v>
      </c>
      <c r="L35" s="23">
        <v>0.33</v>
      </c>
      <c r="M35" s="22">
        <v>50</v>
      </c>
      <c r="N35" s="22">
        <v>3.8</v>
      </c>
      <c r="O35" s="30">
        <v>27.7</v>
      </c>
      <c r="P35" s="23">
        <v>32.4</v>
      </c>
      <c r="Q35" s="23">
        <v>2.16</v>
      </c>
      <c r="R35" s="22">
        <f ca="1">YEAR(NOW())-1250</f>
        <v>756</v>
      </c>
      <c r="S35" s="51" t="s">
        <v>60</v>
      </c>
      <c r="T35" s="22">
        <v>15</v>
      </c>
      <c r="U35" s="22" t="s">
        <v>52</v>
      </c>
      <c r="V35" s="22" t="s">
        <v>39</v>
      </c>
      <c r="W35" s="22">
        <v>5</v>
      </c>
      <c r="Z35" s="56">
        <v>1.8</v>
      </c>
      <c r="AA35" s="58">
        <v>0.0037</v>
      </c>
      <c r="AC35" s="32">
        <f t="shared" si="2"/>
        <v>7</v>
      </c>
      <c r="AD35" s="51" t="s">
        <v>143</v>
      </c>
    </row>
    <row r="36" spans="1:30" ht="12.75">
      <c r="A36" s="51" t="s">
        <v>144</v>
      </c>
      <c r="B36" s="23">
        <f t="shared" si="3"/>
        <v>34</v>
      </c>
      <c r="C36" s="23" t="s">
        <v>145</v>
      </c>
      <c r="D36" s="23">
        <v>958</v>
      </c>
      <c r="E36" s="23">
        <v>494</v>
      </c>
      <c r="F36" s="23">
        <v>4.79</v>
      </c>
      <c r="G36" s="23">
        <v>78.96</v>
      </c>
      <c r="H36" s="23">
        <v>4</v>
      </c>
      <c r="I36" s="23">
        <v>1.16</v>
      </c>
      <c r="J36" s="23">
        <v>1.22</v>
      </c>
      <c r="K36" s="23">
        <v>9.752</v>
      </c>
      <c r="L36" s="23">
        <v>0.32</v>
      </c>
      <c r="M36" s="22">
        <v>2.04</v>
      </c>
      <c r="N36" s="22">
        <v>8</v>
      </c>
      <c r="O36" s="30">
        <v>5.54</v>
      </c>
      <c r="P36" s="23">
        <v>26.32</v>
      </c>
      <c r="Q36" s="23">
        <v>2.55</v>
      </c>
      <c r="R36" s="22">
        <f ca="1">YEAR(NOW())-1817</f>
        <v>189</v>
      </c>
      <c r="S36" s="51" t="s">
        <v>64</v>
      </c>
      <c r="T36" s="22">
        <v>16</v>
      </c>
      <c r="U36" s="22" t="s">
        <v>52</v>
      </c>
      <c r="V36" s="22" t="s">
        <v>39</v>
      </c>
      <c r="W36" s="22">
        <v>-2</v>
      </c>
      <c r="X36" s="22">
        <v>6</v>
      </c>
      <c r="Z36" s="56">
        <v>0.05</v>
      </c>
      <c r="AA36" s="58">
        <v>0.0002</v>
      </c>
      <c r="AC36" s="32">
        <f aca="true" t="shared" si="4" ref="AC36:AC51">LEN(A36)</f>
        <v>8</v>
      </c>
      <c r="AD36" s="51" t="s">
        <v>146</v>
      </c>
    </row>
    <row r="37" spans="1:30" s="38" customFormat="1" ht="12.75">
      <c r="A37" s="53" t="s">
        <v>147</v>
      </c>
      <c r="B37" s="38">
        <f aca="true" t="shared" si="5" ref="B37:B52">B36+1</f>
        <v>35</v>
      </c>
      <c r="C37" s="38" t="s">
        <v>148</v>
      </c>
      <c r="D37" s="38">
        <v>331.85</v>
      </c>
      <c r="E37" s="38">
        <v>265.95</v>
      </c>
      <c r="F37" s="38">
        <v>3.12</v>
      </c>
      <c r="G37" s="38">
        <v>79.904</v>
      </c>
      <c r="H37" s="38">
        <v>1</v>
      </c>
      <c r="I37" s="38">
        <v>1.14</v>
      </c>
      <c r="J37" s="38">
        <v>1.12</v>
      </c>
      <c r="K37" s="38">
        <v>11.814</v>
      </c>
      <c r="L37" s="38">
        <v>0.226</v>
      </c>
      <c r="M37" s="38">
        <v>0.122</v>
      </c>
      <c r="N37" s="38">
        <v>1E-16</v>
      </c>
      <c r="O37" s="38">
        <v>5.286</v>
      </c>
      <c r="P37" s="38">
        <v>14.725</v>
      </c>
      <c r="Q37" s="38">
        <v>2.96</v>
      </c>
      <c r="R37" s="38">
        <f ca="1">YEAR(NOW())-1826</f>
        <v>180</v>
      </c>
      <c r="S37" s="53" t="s">
        <v>68</v>
      </c>
      <c r="T37" s="38">
        <v>17</v>
      </c>
      <c r="U37" s="38" t="s">
        <v>52</v>
      </c>
      <c r="V37" s="38" t="s">
        <v>39</v>
      </c>
      <c r="W37" s="38">
        <v>5</v>
      </c>
      <c r="X37" s="38">
        <v>7</v>
      </c>
      <c r="Z37" s="60">
        <v>2.4</v>
      </c>
      <c r="AA37" s="60">
        <v>67.3</v>
      </c>
      <c r="AB37" s="60">
        <v>0.00029</v>
      </c>
      <c r="AC37" s="32">
        <f t="shared" si="4"/>
        <v>7</v>
      </c>
      <c r="AD37" s="53" t="s">
        <v>149</v>
      </c>
    </row>
    <row r="38" spans="1:30" s="34" customFormat="1" ht="12.75">
      <c r="A38" s="52" t="s">
        <v>150</v>
      </c>
      <c r="B38" s="26">
        <f t="shared" si="5"/>
        <v>36</v>
      </c>
      <c r="C38" s="26" t="s">
        <v>151</v>
      </c>
      <c r="D38" s="26">
        <v>120.85</v>
      </c>
      <c r="E38" s="26">
        <v>116</v>
      </c>
      <c r="F38" s="26">
        <v>3.75</v>
      </c>
      <c r="G38" s="26">
        <v>83.8</v>
      </c>
      <c r="H38" s="26">
        <v>0</v>
      </c>
      <c r="I38" s="26">
        <v>1.89</v>
      </c>
      <c r="J38" s="26">
        <v>1.03</v>
      </c>
      <c r="K38" s="26">
        <v>13.999</v>
      </c>
      <c r="L38" s="26">
        <v>0.248</v>
      </c>
      <c r="M38" s="32">
        <v>0.00949</v>
      </c>
      <c r="N38" s="32"/>
      <c r="O38" s="33">
        <v>1.638</v>
      </c>
      <c r="P38" s="26">
        <v>9.029</v>
      </c>
      <c r="Q38" s="35"/>
      <c r="R38" s="32">
        <f ca="1">YEAR(NOW())-1898</f>
        <v>108</v>
      </c>
      <c r="S38" s="52" t="s">
        <v>38</v>
      </c>
      <c r="T38" s="32">
        <v>18</v>
      </c>
      <c r="U38" s="32" t="s">
        <v>52</v>
      </c>
      <c r="V38" s="32" t="s">
        <v>39</v>
      </c>
      <c r="W38" s="32">
        <v>2</v>
      </c>
      <c r="X38" s="32"/>
      <c r="Y38" s="32"/>
      <c r="Z38" s="55">
        <v>0.0001</v>
      </c>
      <c r="AA38" s="57">
        <v>0.00021</v>
      </c>
      <c r="AB38" s="57"/>
      <c r="AC38" s="32">
        <f t="shared" si="4"/>
        <v>7</v>
      </c>
      <c r="AD38" s="52" t="s">
        <v>152</v>
      </c>
    </row>
    <row r="39" spans="1:30" ht="12.75">
      <c r="A39" s="51" t="s">
        <v>153</v>
      </c>
      <c r="B39" s="23">
        <f t="shared" si="5"/>
        <v>37</v>
      </c>
      <c r="C39" s="23" t="s">
        <v>154</v>
      </c>
      <c r="D39" s="23">
        <v>961</v>
      </c>
      <c r="E39" s="23">
        <v>312.63</v>
      </c>
      <c r="F39" s="23">
        <v>1.532</v>
      </c>
      <c r="G39" s="23">
        <v>85.4678</v>
      </c>
      <c r="H39" s="23">
        <v>1</v>
      </c>
      <c r="I39" s="23">
        <v>2.16</v>
      </c>
      <c r="J39" s="23">
        <v>2.98</v>
      </c>
      <c r="K39" s="23">
        <v>4.177</v>
      </c>
      <c r="L39" s="23">
        <v>0.363</v>
      </c>
      <c r="M39" s="22">
        <v>58.2</v>
      </c>
      <c r="N39" s="22">
        <v>47.8</v>
      </c>
      <c r="O39" s="30">
        <v>2.34</v>
      </c>
      <c r="P39" s="23">
        <v>69.2</v>
      </c>
      <c r="Q39" s="23">
        <v>0.82</v>
      </c>
      <c r="R39" s="22">
        <f ca="1">YEAR(NOW())-1861</f>
        <v>145</v>
      </c>
      <c r="S39" s="51" t="s">
        <v>43</v>
      </c>
      <c r="T39" s="22">
        <v>1</v>
      </c>
      <c r="U39" s="22" t="s">
        <v>33</v>
      </c>
      <c r="V39" s="22" t="s">
        <v>34</v>
      </c>
      <c r="Z39" s="56">
        <v>90</v>
      </c>
      <c r="AA39" s="58">
        <v>0.12</v>
      </c>
      <c r="AB39" s="58">
        <v>0.00046</v>
      </c>
      <c r="AC39" s="32">
        <f t="shared" si="4"/>
        <v>8</v>
      </c>
      <c r="AD39" s="51" t="s">
        <v>155</v>
      </c>
    </row>
    <row r="40" spans="1:30" ht="12.75">
      <c r="A40" s="51" t="s">
        <v>156</v>
      </c>
      <c r="B40" s="23">
        <f t="shared" si="5"/>
        <v>38</v>
      </c>
      <c r="C40" s="23" t="s">
        <v>157</v>
      </c>
      <c r="D40" s="23">
        <v>1655</v>
      </c>
      <c r="E40" s="23">
        <v>1042</v>
      </c>
      <c r="F40" s="23">
        <v>2.54</v>
      </c>
      <c r="G40" s="23">
        <v>87.62</v>
      </c>
      <c r="H40" s="23">
        <v>2</v>
      </c>
      <c r="I40" s="23">
        <v>1.91</v>
      </c>
      <c r="J40" s="23">
        <v>2.45</v>
      </c>
      <c r="K40" s="23">
        <v>5.695</v>
      </c>
      <c r="L40" s="23">
        <v>0.3</v>
      </c>
      <c r="M40" s="22">
        <v>3.53</v>
      </c>
      <c r="N40" s="22">
        <v>5</v>
      </c>
      <c r="O40" s="30">
        <v>8.2</v>
      </c>
      <c r="P40" s="23">
        <v>136.9</v>
      </c>
      <c r="Q40" s="23">
        <v>0.95</v>
      </c>
      <c r="R40" s="22">
        <f ca="1">YEAR(NOW())-1790</f>
        <v>216</v>
      </c>
      <c r="S40" s="51" t="s">
        <v>47</v>
      </c>
      <c r="T40" s="22">
        <v>2</v>
      </c>
      <c r="U40" s="22" t="s">
        <v>33</v>
      </c>
      <c r="V40" s="22" t="s">
        <v>34</v>
      </c>
      <c r="Z40" s="56">
        <v>370</v>
      </c>
      <c r="AA40" s="58">
        <v>7.2</v>
      </c>
      <c r="AB40" s="58">
        <v>0.00046</v>
      </c>
      <c r="AC40" s="32">
        <f t="shared" si="4"/>
        <v>9</v>
      </c>
      <c r="AD40" s="51" t="s">
        <v>158</v>
      </c>
    </row>
    <row r="41" spans="1:30" ht="12.75">
      <c r="A41" s="51" t="s">
        <v>159</v>
      </c>
      <c r="B41" s="23">
        <f t="shared" si="5"/>
        <v>39</v>
      </c>
      <c r="C41" s="23" t="s">
        <v>160</v>
      </c>
      <c r="D41" s="23">
        <v>3611</v>
      </c>
      <c r="E41" s="23">
        <v>1795</v>
      </c>
      <c r="F41" s="23">
        <v>4.47</v>
      </c>
      <c r="G41" s="23">
        <v>88.9059</v>
      </c>
      <c r="H41" s="23">
        <v>3</v>
      </c>
      <c r="I41" s="23">
        <v>1.62</v>
      </c>
      <c r="J41" s="23">
        <v>2.27</v>
      </c>
      <c r="K41" s="23">
        <v>6.38</v>
      </c>
      <c r="L41" s="23">
        <v>0.3</v>
      </c>
      <c r="M41" s="22">
        <v>17.2</v>
      </c>
      <c r="N41" s="22">
        <v>1.8</v>
      </c>
      <c r="O41" s="30">
        <v>17.15</v>
      </c>
      <c r="P41" s="23">
        <v>393.3</v>
      </c>
      <c r="Q41" s="23">
        <v>1.22</v>
      </c>
      <c r="R41" s="22">
        <f ca="1">YEAR(NOW())-1828</f>
        <v>178</v>
      </c>
      <c r="S41" s="51" t="s">
        <v>105</v>
      </c>
      <c r="T41" s="22">
        <v>3</v>
      </c>
      <c r="U41" s="22" t="s">
        <v>106</v>
      </c>
      <c r="V41" s="22" t="s">
        <v>34</v>
      </c>
      <c r="Z41" s="56">
        <v>33</v>
      </c>
      <c r="AA41" s="58">
        <v>1.3E-05</v>
      </c>
      <c r="AC41" s="32">
        <f t="shared" si="4"/>
        <v>7</v>
      </c>
      <c r="AD41" s="51" t="s">
        <v>161</v>
      </c>
    </row>
    <row r="42" spans="1:30" ht="12.75">
      <c r="A42" s="51" t="s">
        <v>162</v>
      </c>
      <c r="B42" s="23">
        <f t="shared" si="5"/>
        <v>40</v>
      </c>
      <c r="C42" s="23" t="s">
        <v>163</v>
      </c>
      <c r="D42" s="23">
        <v>4682</v>
      </c>
      <c r="E42" s="23">
        <v>2128</v>
      </c>
      <c r="F42" s="23">
        <v>6.51</v>
      </c>
      <c r="G42" s="23">
        <v>91.224</v>
      </c>
      <c r="H42" s="23">
        <v>4</v>
      </c>
      <c r="I42" s="23">
        <v>1.45</v>
      </c>
      <c r="J42" s="23">
        <v>2.16</v>
      </c>
      <c r="K42" s="23">
        <v>6.34</v>
      </c>
      <c r="L42" s="23">
        <v>0.278</v>
      </c>
      <c r="M42" s="22">
        <v>22.7</v>
      </c>
      <c r="N42" s="22">
        <v>2.3</v>
      </c>
      <c r="O42" s="30">
        <v>21</v>
      </c>
      <c r="P42" s="23">
        <v>590.5</v>
      </c>
      <c r="Q42" s="23">
        <v>1.33</v>
      </c>
      <c r="R42" s="22">
        <f ca="1">YEAR(NOW())-1789</f>
        <v>217</v>
      </c>
      <c r="S42" s="51" t="s">
        <v>105</v>
      </c>
      <c r="T42" s="22">
        <v>4</v>
      </c>
      <c r="U42" s="22" t="s">
        <v>106</v>
      </c>
      <c r="V42" s="22" t="s">
        <v>34</v>
      </c>
      <c r="Z42" s="56">
        <v>165</v>
      </c>
      <c r="AA42" s="58">
        <v>3E-05</v>
      </c>
      <c r="AC42" s="32">
        <f t="shared" si="4"/>
        <v>9</v>
      </c>
      <c r="AD42" s="51" t="s">
        <v>164</v>
      </c>
    </row>
    <row r="43" spans="1:30" ht="12.75">
      <c r="A43" s="51" t="s">
        <v>165</v>
      </c>
      <c r="B43" s="23">
        <f t="shared" si="5"/>
        <v>41</v>
      </c>
      <c r="C43" s="23" t="s">
        <v>166</v>
      </c>
      <c r="D43" s="23">
        <v>5015</v>
      </c>
      <c r="E43" s="23">
        <v>2742</v>
      </c>
      <c r="F43" s="23">
        <v>8.57</v>
      </c>
      <c r="G43" s="23">
        <v>92.9064</v>
      </c>
      <c r="H43" s="23">
        <v>5</v>
      </c>
      <c r="I43" s="23">
        <v>1.34</v>
      </c>
      <c r="J43" s="23">
        <v>2.08</v>
      </c>
      <c r="K43" s="23">
        <v>6.88</v>
      </c>
      <c r="L43" s="23">
        <v>0.265</v>
      </c>
      <c r="M43" s="22">
        <v>53.7</v>
      </c>
      <c r="N43" s="22">
        <v>6.6</v>
      </c>
      <c r="O43" s="30">
        <v>26.9</v>
      </c>
      <c r="P43" s="23">
        <v>690.1</v>
      </c>
      <c r="Q43" s="23">
        <v>1.6</v>
      </c>
      <c r="R43" s="22">
        <f ca="1">YEAR(NOW())-1864</f>
        <v>142</v>
      </c>
      <c r="S43" s="51" t="s">
        <v>105</v>
      </c>
      <c r="T43" s="22">
        <v>5</v>
      </c>
      <c r="U43" s="22" t="s">
        <v>106</v>
      </c>
      <c r="V43" s="22" t="s">
        <v>34</v>
      </c>
      <c r="W43" s="22">
        <v>3</v>
      </c>
      <c r="Z43" s="56">
        <v>20</v>
      </c>
      <c r="AA43" s="58">
        <v>1E-05</v>
      </c>
      <c r="AC43" s="32">
        <f t="shared" si="4"/>
        <v>7</v>
      </c>
      <c r="AD43" s="51" t="s">
        <v>167</v>
      </c>
    </row>
    <row r="44" spans="1:30" ht="12.75">
      <c r="A44" s="51" t="s">
        <v>168</v>
      </c>
      <c r="B44" s="23">
        <f t="shared" si="5"/>
        <v>42</v>
      </c>
      <c r="C44" s="23" t="s">
        <v>169</v>
      </c>
      <c r="D44" s="23">
        <v>4912</v>
      </c>
      <c r="E44" s="23">
        <v>2896</v>
      </c>
      <c r="F44" s="23">
        <v>10.22</v>
      </c>
      <c r="G44" s="23">
        <v>95.94</v>
      </c>
      <c r="H44" s="23">
        <v>6</v>
      </c>
      <c r="I44" s="23">
        <v>1.3</v>
      </c>
      <c r="J44" s="23">
        <v>2.01</v>
      </c>
      <c r="K44" s="23">
        <v>7.099</v>
      </c>
      <c r="L44" s="23">
        <v>0.25</v>
      </c>
      <c r="M44" s="22">
        <v>138</v>
      </c>
      <c r="N44" s="22">
        <v>17.3</v>
      </c>
      <c r="O44" s="30">
        <v>36</v>
      </c>
      <c r="P44" s="23">
        <v>590.4</v>
      </c>
      <c r="Q44" s="23">
        <v>2.16</v>
      </c>
      <c r="R44" s="22">
        <f ca="1">YEAR(NOW())-1782</f>
        <v>224</v>
      </c>
      <c r="S44" s="51" t="s">
        <v>105</v>
      </c>
      <c r="T44" s="22">
        <v>6</v>
      </c>
      <c r="U44" s="22" t="s">
        <v>106</v>
      </c>
      <c r="V44" s="22" t="s">
        <v>34</v>
      </c>
      <c r="W44" s="22">
        <v>5</v>
      </c>
      <c r="X44" s="22">
        <v>4</v>
      </c>
      <c r="Y44" s="22">
        <v>3</v>
      </c>
      <c r="Z44" s="56">
        <v>1.2</v>
      </c>
      <c r="AA44" s="58">
        <v>0.01</v>
      </c>
      <c r="AB44" s="58">
        <v>1E-05</v>
      </c>
      <c r="AC44" s="32">
        <f t="shared" si="4"/>
        <v>10</v>
      </c>
      <c r="AD44" s="51" t="s">
        <v>170</v>
      </c>
    </row>
    <row r="45" spans="1:30" ht="12.75">
      <c r="A45" s="51" t="s">
        <v>171</v>
      </c>
      <c r="B45" s="23">
        <f t="shared" si="5"/>
        <v>43</v>
      </c>
      <c r="C45" s="23" t="s">
        <v>172</v>
      </c>
      <c r="D45" s="23">
        <v>4538</v>
      </c>
      <c r="E45" s="23">
        <v>2477</v>
      </c>
      <c r="F45" s="23">
        <v>11.5</v>
      </c>
      <c r="G45" s="23">
        <v>98</v>
      </c>
      <c r="H45" s="23">
        <v>7</v>
      </c>
      <c r="I45" s="23">
        <v>1.27</v>
      </c>
      <c r="J45" s="23">
        <v>1.95</v>
      </c>
      <c r="K45" s="23">
        <v>7.28</v>
      </c>
      <c r="L45" s="23">
        <v>0.24</v>
      </c>
      <c r="M45" s="22">
        <v>50.6</v>
      </c>
      <c r="N45" s="22">
        <v>0.001</v>
      </c>
      <c r="O45" s="30">
        <v>23</v>
      </c>
      <c r="P45" s="23">
        <v>502</v>
      </c>
      <c r="Q45" s="23">
        <v>1.9</v>
      </c>
      <c r="R45" s="22">
        <f ca="1">YEAR(NOW())-1937</f>
        <v>69</v>
      </c>
      <c r="S45" s="51" t="s">
        <v>105</v>
      </c>
      <c r="T45" s="22">
        <v>7</v>
      </c>
      <c r="U45" s="22" t="s">
        <v>106</v>
      </c>
      <c r="V45" s="22" t="s">
        <v>34</v>
      </c>
      <c r="AC45" s="32">
        <f t="shared" si="4"/>
        <v>10</v>
      </c>
      <c r="AD45" s="51" t="s">
        <v>173</v>
      </c>
    </row>
    <row r="46" spans="1:30" ht="12.75">
      <c r="A46" s="51" t="s">
        <v>174</v>
      </c>
      <c r="B46" s="23">
        <f t="shared" si="5"/>
        <v>44</v>
      </c>
      <c r="C46" s="23" t="s">
        <v>175</v>
      </c>
      <c r="D46" s="23">
        <v>4425</v>
      </c>
      <c r="E46" s="23">
        <v>2610</v>
      </c>
      <c r="F46" s="23">
        <v>12.37</v>
      </c>
      <c r="G46" s="23">
        <v>101.07</v>
      </c>
      <c r="H46" s="23">
        <v>3</v>
      </c>
      <c r="I46" s="23">
        <v>1.25</v>
      </c>
      <c r="J46" s="23">
        <v>1.89</v>
      </c>
      <c r="K46" s="23">
        <v>7.37</v>
      </c>
      <c r="L46" s="23">
        <v>0.238</v>
      </c>
      <c r="M46" s="22">
        <v>117</v>
      </c>
      <c r="N46" s="22">
        <v>14.9</v>
      </c>
      <c r="O46" s="30">
        <v>25.52</v>
      </c>
      <c r="P46" s="23">
        <v>567.77</v>
      </c>
      <c r="Q46" s="23">
        <v>2.2</v>
      </c>
      <c r="R46" s="22">
        <f ca="1">YEAR(NOW())-1844</f>
        <v>162</v>
      </c>
      <c r="S46" s="51" t="s">
        <v>105</v>
      </c>
      <c r="T46" s="22">
        <v>8</v>
      </c>
      <c r="U46" s="22" t="s">
        <v>106</v>
      </c>
      <c r="V46" s="22" t="s">
        <v>34</v>
      </c>
      <c r="W46" s="22">
        <v>4</v>
      </c>
      <c r="X46" s="22">
        <v>2</v>
      </c>
      <c r="Y46" s="22">
        <v>6</v>
      </c>
      <c r="Z46" s="56">
        <v>0.001</v>
      </c>
      <c r="AA46" s="58">
        <v>7E-07</v>
      </c>
      <c r="AC46" s="32">
        <f t="shared" si="4"/>
        <v>9</v>
      </c>
      <c r="AD46" s="51" t="s">
        <v>176</v>
      </c>
    </row>
    <row r="47" spans="1:30" ht="12.75">
      <c r="A47" s="51" t="s">
        <v>177</v>
      </c>
      <c r="B47" s="23">
        <f t="shared" si="5"/>
        <v>45</v>
      </c>
      <c r="C47" s="23" t="s">
        <v>178</v>
      </c>
      <c r="D47" s="23">
        <v>3970</v>
      </c>
      <c r="E47" s="23">
        <v>2236</v>
      </c>
      <c r="F47" s="23">
        <v>12.41</v>
      </c>
      <c r="G47" s="23">
        <v>102.9055</v>
      </c>
      <c r="H47" s="23">
        <v>3</v>
      </c>
      <c r="I47" s="23">
        <v>1.25</v>
      </c>
      <c r="J47" s="23">
        <v>1.83</v>
      </c>
      <c r="K47" s="23">
        <v>7.46</v>
      </c>
      <c r="L47" s="23">
        <v>0.242</v>
      </c>
      <c r="M47" s="22">
        <v>150</v>
      </c>
      <c r="N47" s="22">
        <v>23</v>
      </c>
      <c r="O47" s="30">
        <v>21.76</v>
      </c>
      <c r="P47" s="23">
        <v>495.39</v>
      </c>
      <c r="Q47" s="23">
        <v>2.28</v>
      </c>
      <c r="R47" s="22">
        <f ca="1">YEAR(NOW())-1803</f>
        <v>203</v>
      </c>
      <c r="S47" s="51" t="s">
        <v>105</v>
      </c>
      <c r="T47" s="22">
        <v>9</v>
      </c>
      <c r="U47" s="22" t="s">
        <v>106</v>
      </c>
      <c r="V47" s="22" t="s">
        <v>34</v>
      </c>
      <c r="W47" s="22">
        <v>2</v>
      </c>
      <c r="X47" s="22">
        <v>4</v>
      </c>
      <c r="Z47" s="56">
        <v>0.001</v>
      </c>
      <c r="AC47" s="32">
        <f t="shared" si="4"/>
        <v>7</v>
      </c>
      <c r="AD47" s="51" t="s">
        <v>179</v>
      </c>
    </row>
    <row r="48" spans="1:30" ht="12.75">
      <c r="A48" s="51" t="s">
        <v>180</v>
      </c>
      <c r="B48" s="23">
        <f t="shared" si="5"/>
        <v>46</v>
      </c>
      <c r="C48" s="23" t="s">
        <v>181</v>
      </c>
      <c r="D48" s="23">
        <v>3240</v>
      </c>
      <c r="E48" s="23">
        <v>1825</v>
      </c>
      <c r="F48" s="23">
        <v>12</v>
      </c>
      <c r="G48" s="23">
        <v>106.42</v>
      </c>
      <c r="H48" s="23">
        <v>2</v>
      </c>
      <c r="I48" s="23">
        <v>1.28</v>
      </c>
      <c r="J48" s="23">
        <v>1.79</v>
      </c>
      <c r="K48" s="23">
        <v>8.34</v>
      </c>
      <c r="L48" s="23">
        <v>0.244</v>
      </c>
      <c r="M48" s="22">
        <v>71.8</v>
      </c>
      <c r="N48" s="22">
        <v>10</v>
      </c>
      <c r="O48" s="30">
        <v>16.74</v>
      </c>
      <c r="P48" s="23">
        <v>393.3</v>
      </c>
      <c r="Q48" s="23">
        <v>2.2</v>
      </c>
      <c r="R48" s="22">
        <f ca="1">YEAR(NOW())-1803</f>
        <v>203</v>
      </c>
      <c r="S48" s="51" t="s">
        <v>105</v>
      </c>
      <c r="T48" s="22">
        <v>10</v>
      </c>
      <c r="U48" s="22" t="s">
        <v>106</v>
      </c>
      <c r="V48" s="22" t="s">
        <v>34</v>
      </c>
      <c r="W48" s="22">
        <v>4</v>
      </c>
      <c r="Z48" s="56">
        <v>0.015</v>
      </c>
      <c r="AC48" s="32">
        <f t="shared" si="4"/>
        <v>9</v>
      </c>
      <c r="AD48" s="51" t="s">
        <v>182</v>
      </c>
    </row>
    <row r="49" spans="1:30" ht="12.75">
      <c r="A49" s="51" t="s">
        <v>183</v>
      </c>
      <c r="B49" s="23">
        <f t="shared" si="5"/>
        <v>47</v>
      </c>
      <c r="C49" s="23" t="s">
        <v>184</v>
      </c>
      <c r="D49" s="23">
        <v>2436</v>
      </c>
      <c r="E49" s="23">
        <v>1235.08</v>
      </c>
      <c r="F49" s="23">
        <v>10.5</v>
      </c>
      <c r="G49" s="23">
        <v>107.868</v>
      </c>
      <c r="H49" s="23">
        <v>1</v>
      </c>
      <c r="I49" s="23">
        <v>1.34</v>
      </c>
      <c r="J49" s="23">
        <v>1.75</v>
      </c>
      <c r="K49" s="23">
        <v>7.576</v>
      </c>
      <c r="L49" s="23">
        <v>0.235</v>
      </c>
      <c r="M49" s="22">
        <v>429</v>
      </c>
      <c r="N49" s="22">
        <v>62.9</v>
      </c>
      <c r="O49" s="30">
        <v>11.3</v>
      </c>
      <c r="P49" s="23">
        <v>250.63</v>
      </c>
      <c r="Q49" s="23">
        <v>1.93</v>
      </c>
      <c r="R49" s="22" t="s">
        <v>56</v>
      </c>
      <c r="S49" s="51" t="s">
        <v>105</v>
      </c>
      <c r="T49" s="22">
        <v>11</v>
      </c>
      <c r="U49" s="22" t="s">
        <v>106</v>
      </c>
      <c r="V49" s="22" t="s">
        <v>34</v>
      </c>
      <c r="Z49" s="56">
        <v>0.075</v>
      </c>
      <c r="AA49" s="58">
        <v>4E-05</v>
      </c>
      <c r="AC49" s="32">
        <f t="shared" si="4"/>
        <v>6</v>
      </c>
      <c r="AD49" s="51" t="s">
        <v>185</v>
      </c>
    </row>
    <row r="50" spans="1:30" ht="12.75">
      <c r="A50" s="51" t="s">
        <v>186</v>
      </c>
      <c r="B50" s="23">
        <f t="shared" si="5"/>
        <v>48</v>
      </c>
      <c r="C50" s="23" t="s">
        <v>187</v>
      </c>
      <c r="D50" s="23">
        <v>1040</v>
      </c>
      <c r="E50" s="23">
        <v>594.26</v>
      </c>
      <c r="F50" s="23">
        <v>8.65</v>
      </c>
      <c r="G50" s="23">
        <v>112.41</v>
      </c>
      <c r="H50" s="23">
        <v>2</v>
      </c>
      <c r="I50" s="23">
        <v>1.41</v>
      </c>
      <c r="J50" s="23">
        <v>1.71</v>
      </c>
      <c r="K50" s="23">
        <v>8.993</v>
      </c>
      <c r="L50" s="23">
        <v>0.232</v>
      </c>
      <c r="M50" s="22">
        <v>96.8</v>
      </c>
      <c r="N50" s="22">
        <v>14.7</v>
      </c>
      <c r="O50" s="30">
        <v>6.07</v>
      </c>
      <c r="P50" s="23">
        <v>99.87</v>
      </c>
      <c r="Q50" s="23">
        <v>1.69</v>
      </c>
      <c r="R50" s="22">
        <f ca="1">YEAR(NOW())-1817</f>
        <v>189</v>
      </c>
      <c r="S50" s="51" t="s">
        <v>105</v>
      </c>
      <c r="T50" s="22">
        <v>12</v>
      </c>
      <c r="U50" s="22" t="s">
        <v>106</v>
      </c>
      <c r="V50" s="22" t="s">
        <v>34</v>
      </c>
      <c r="Z50" s="56">
        <v>0.15</v>
      </c>
      <c r="AA50" s="58">
        <v>0.00011</v>
      </c>
      <c r="AB50" s="58">
        <v>7E-05</v>
      </c>
      <c r="AC50" s="32">
        <f t="shared" si="4"/>
        <v>7</v>
      </c>
      <c r="AD50" s="51" t="s">
        <v>188</v>
      </c>
    </row>
    <row r="51" spans="1:30" ht="12.75">
      <c r="A51" s="51" t="s">
        <v>189</v>
      </c>
      <c r="B51" s="23">
        <f t="shared" si="5"/>
        <v>49</v>
      </c>
      <c r="C51" s="23" t="s">
        <v>190</v>
      </c>
      <c r="D51" s="23">
        <v>2350</v>
      </c>
      <c r="E51" s="23">
        <v>429.78</v>
      </c>
      <c r="F51" s="23">
        <v>7.31</v>
      </c>
      <c r="G51" s="23">
        <v>114.82</v>
      </c>
      <c r="H51" s="23">
        <v>3</v>
      </c>
      <c r="I51" s="23">
        <v>1.44</v>
      </c>
      <c r="J51" s="23">
        <v>2</v>
      </c>
      <c r="K51" s="23">
        <v>5.786</v>
      </c>
      <c r="L51" s="23">
        <v>0.233</v>
      </c>
      <c r="M51" s="22">
        <v>81.6</v>
      </c>
      <c r="N51" s="22">
        <v>3.4</v>
      </c>
      <c r="O51" s="30">
        <v>3.26</v>
      </c>
      <c r="P51" s="23">
        <v>226.335</v>
      </c>
      <c r="Q51" s="23">
        <v>1.78</v>
      </c>
      <c r="R51" s="22">
        <f ca="1">YEAR(NOW())-1924</f>
        <v>82</v>
      </c>
      <c r="S51" s="51" t="s">
        <v>51</v>
      </c>
      <c r="T51" s="22">
        <v>13</v>
      </c>
      <c r="U51" s="22" t="s">
        <v>52</v>
      </c>
      <c r="V51" s="22" t="s">
        <v>34</v>
      </c>
      <c r="Z51" s="56">
        <v>0.25</v>
      </c>
      <c r="AA51" s="58">
        <v>0.002</v>
      </c>
      <c r="AC51" s="32">
        <f t="shared" si="4"/>
        <v>6</v>
      </c>
      <c r="AD51" s="51" t="s">
        <v>191</v>
      </c>
    </row>
    <row r="52" spans="1:30" ht="12.75">
      <c r="A52" s="51" t="s">
        <v>192</v>
      </c>
      <c r="B52" s="23">
        <f t="shared" si="5"/>
        <v>50</v>
      </c>
      <c r="C52" s="23" t="s">
        <v>193</v>
      </c>
      <c r="D52" s="23">
        <v>2876</v>
      </c>
      <c r="E52" s="23">
        <v>505.12</v>
      </c>
      <c r="F52" s="23">
        <v>7.31</v>
      </c>
      <c r="G52" s="23">
        <v>118.71</v>
      </c>
      <c r="H52" s="23">
        <v>4</v>
      </c>
      <c r="I52" s="23">
        <v>1.41</v>
      </c>
      <c r="J52" s="23">
        <v>1.72</v>
      </c>
      <c r="K52" s="23">
        <v>7.344</v>
      </c>
      <c r="L52" s="23">
        <v>0.228</v>
      </c>
      <c r="M52" s="22">
        <v>66.6</v>
      </c>
      <c r="N52" s="22">
        <v>8.7</v>
      </c>
      <c r="O52" s="30">
        <v>7.2</v>
      </c>
      <c r="P52" s="23">
        <v>290.37</v>
      </c>
      <c r="Q52" s="23">
        <v>1.96</v>
      </c>
      <c r="R52" s="22" t="s">
        <v>56</v>
      </c>
      <c r="S52" s="51" t="s">
        <v>57</v>
      </c>
      <c r="T52" s="22">
        <v>14</v>
      </c>
      <c r="U52" s="22" t="s">
        <v>52</v>
      </c>
      <c r="V52" s="22" t="s">
        <v>34</v>
      </c>
      <c r="W52" s="22">
        <v>2</v>
      </c>
      <c r="Z52" s="56">
        <v>2.3</v>
      </c>
      <c r="AA52" s="58">
        <v>4E-06</v>
      </c>
      <c r="AB52" s="58">
        <v>2E-05</v>
      </c>
      <c r="AC52" s="32">
        <f aca="true" t="shared" si="6" ref="AC52:AC67">LEN(A52)</f>
        <v>3</v>
      </c>
      <c r="AD52" s="51" t="s">
        <v>194</v>
      </c>
    </row>
    <row r="53" spans="1:30" ht="12.75">
      <c r="A53" s="51" t="s">
        <v>195</v>
      </c>
      <c r="B53" s="23">
        <f aca="true" t="shared" si="7" ref="B53:B68">B52+1</f>
        <v>51</v>
      </c>
      <c r="C53" s="23" t="s">
        <v>196</v>
      </c>
      <c r="D53" s="23">
        <v>1860</v>
      </c>
      <c r="E53" s="23">
        <v>903.91</v>
      </c>
      <c r="F53" s="23">
        <v>6.69</v>
      </c>
      <c r="G53" s="23">
        <v>121.757</v>
      </c>
      <c r="H53" s="23">
        <v>3</v>
      </c>
      <c r="I53" s="23">
        <v>1.4</v>
      </c>
      <c r="J53" s="23">
        <v>1.53</v>
      </c>
      <c r="K53" s="23">
        <v>8.641</v>
      </c>
      <c r="L53" s="23">
        <v>0.207</v>
      </c>
      <c r="M53" s="22">
        <v>24.3</v>
      </c>
      <c r="N53" s="22">
        <v>2.6</v>
      </c>
      <c r="O53" s="30">
        <v>19.83</v>
      </c>
      <c r="P53" s="23">
        <v>67.97</v>
      </c>
      <c r="Q53" s="23">
        <v>2.05</v>
      </c>
      <c r="R53" s="22">
        <f ca="1">YEAR(NOW())-1600</f>
        <v>406</v>
      </c>
      <c r="S53" s="51" t="s">
        <v>60</v>
      </c>
      <c r="T53" s="22">
        <v>15</v>
      </c>
      <c r="U53" s="22" t="s">
        <v>52</v>
      </c>
      <c r="V53" s="22" t="s">
        <v>34</v>
      </c>
      <c r="W53" s="22">
        <v>5</v>
      </c>
      <c r="Z53" s="56">
        <v>0.2</v>
      </c>
      <c r="AA53" s="58">
        <v>0.00024</v>
      </c>
      <c r="AC53" s="32">
        <f t="shared" si="6"/>
        <v>8</v>
      </c>
      <c r="AD53" s="51" t="s">
        <v>197</v>
      </c>
    </row>
    <row r="54" spans="1:30" ht="12.75">
      <c r="A54" s="51" t="s">
        <v>198</v>
      </c>
      <c r="B54" s="23">
        <f t="shared" si="7"/>
        <v>52</v>
      </c>
      <c r="C54" s="23" t="s">
        <v>199</v>
      </c>
      <c r="D54" s="23">
        <v>1261</v>
      </c>
      <c r="E54" s="23">
        <v>722.72</v>
      </c>
      <c r="F54" s="23">
        <v>6.24</v>
      </c>
      <c r="G54" s="23">
        <v>127.6</v>
      </c>
      <c r="H54" s="23">
        <v>4</v>
      </c>
      <c r="I54" s="23">
        <v>1.36</v>
      </c>
      <c r="J54" s="23">
        <v>1.42</v>
      </c>
      <c r="K54" s="23">
        <v>9.009</v>
      </c>
      <c r="L54" s="23">
        <v>0.202</v>
      </c>
      <c r="M54" s="22">
        <v>2.35</v>
      </c>
      <c r="N54" s="22">
        <v>0.0002</v>
      </c>
      <c r="O54" s="30">
        <v>17.49</v>
      </c>
      <c r="P54" s="23">
        <v>50.63</v>
      </c>
      <c r="Q54" s="23">
        <v>2.1</v>
      </c>
      <c r="R54" s="22">
        <f ca="1">YEAR(NOW())-1782</f>
        <v>224</v>
      </c>
      <c r="S54" s="51" t="s">
        <v>64</v>
      </c>
      <c r="T54" s="22">
        <v>16</v>
      </c>
      <c r="U54" s="22" t="s">
        <v>52</v>
      </c>
      <c r="V54" s="22" t="s">
        <v>39</v>
      </c>
      <c r="W54" s="22">
        <v>-2</v>
      </c>
      <c r="X54" s="22">
        <v>6</v>
      </c>
      <c r="Z54" s="56">
        <v>0.001</v>
      </c>
      <c r="AC54" s="32">
        <f t="shared" si="6"/>
        <v>9</v>
      </c>
      <c r="AD54" s="51" t="s">
        <v>200</v>
      </c>
    </row>
    <row r="55" spans="1:30" ht="12.75">
      <c r="A55" s="51" t="s">
        <v>201</v>
      </c>
      <c r="B55" s="23">
        <f t="shared" si="7"/>
        <v>53</v>
      </c>
      <c r="C55" s="23" t="s">
        <v>202</v>
      </c>
      <c r="D55" s="23">
        <v>457.5</v>
      </c>
      <c r="E55" s="23">
        <v>386.7</v>
      </c>
      <c r="F55" s="23">
        <v>4.93</v>
      </c>
      <c r="G55" s="23">
        <v>126.9045</v>
      </c>
      <c r="H55" s="23">
        <v>1</v>
      </c>
      <c r="I55" s="23">
        <v>1.33</v>
      </c>
      <c r="J55" s="23">
        <v>1.32</v>
      </c>
      <c r="K55" s="23">
        <v>10.451</v>
      </c>
      <c r="L55" s="23">
        <v>0.145</v>
      </c>
      <c r="M55" s="22">
        <v>0.449</v>
      </c>
      <c r="N55" s="22">
        <v>1E-11</v>
      </c>
      <c r="O55" s="30">
        <v>7.76</v>
      </c>
      <c r="P55" s="23">
        <v>20.9</v>
      </c>
      <c r="Q55" s="23">
        <v>2.66</v>
      </c>
      <c r="R55" s="22">
        <f ca="1">YEAR(NOW())-1811</f>
        <v>195</v>
      </c>
      <c r="S55" s="51" t="s">
        <v>68</v>
      </c>
      <c r="T55" s="22">
        <v>17</v>
      </c>
      <c r="U55" s="22" t="s">
        <v>52</v>
      </c>
      <c r="V55" s="22" t="s">
        <v>39</v>
      </c>
      <c r="W55" s="22">
        <v>5</v>
      </c>
      <c r="X55" s="22">
        <v>7</v>
      </c>
      <c r="Z55" s="56">
        <v>0.45</v>
      </c>
      <c r="AA55" s="58">
        <v>0.06</v>
      </c>
      <c r="AB55" s="58">
        <v>2E-05</v>
      </c>
      <c r="AC55" s="32">
        <f t="shared" si="6"/>
        <v>6</v>
      </c>
      <c r="AD55" s="51" t="s">
        <v>203</v>
      </c>
    </row>
    <row r="56" spans="1:30" s="34" customFormat="1" ht="12.75">
      <c r="A56" s="52" t="s">
        <v>204</v>
      </c>
      <c r="B56" s="26">
        <f t="shared" si="7"/>
        <v>54</v>
      </c>
      <c r="C56" s="26" t="s">
        <v>205</v>
      </c>
      <c r="D56" s="26">
        <v>165.1</v>
      </c>
      <c r="E56" s="26">
        <v>161.39</v>
      </c>
      <c r="F56" s="37">
        <v>5.9</v>
      </c>
      <c r="G56" s="26">
        <v>131.29</v>
      </c>
      <c r="H56" s="26">
        <v>0</v>
      </c>
      <c r="I56" s="26">
        <v>1.31</v>
      </c>
      <c r="J56" s="26">
        <v>1.24</v>
      </c>
      <c r="K56" s="26">
        <v>12.13</v>
      </c>
      <c r="L56" s="26">
        <v>0.158</v>
      </c>
      <c r="M56" s="32">
        <v>0.00569</v>
      </c>
      <c r="N56" s="32"/>
      <c r="O56" s="33">
        <v>2.3</v>
      </c>
      <c r="P56" s="26">
        <v>12.64</v>
      </c>
      <c r="Q56" s="35"/>
      <c r="R56" s="32">
        <f ca="1">YEAR(NOW())-1898</f>
        <v>108</v>
      </c>
      <c r="S56" s="52" t="s">
        <v>38</v>
      </c>
      <c r="T56" s="32">
        <v>18</v>
      </c>
      <c r="U56" s="32" t="s">
        <v>52</v>
      </c>
      <c r="V56" s="32" t="s">
        <v>39</v>
      </c>
      <c r="W56" s="32">
        <v>2</v>
      </c>
      <c r="X56" s="32">
        <v>4</v>
      </c>
      <c r="Y56" s="32">
        <v>6</v>
      </c>
      <c r="Z56" s="55">
        <v>3E-05</v>
      </c>
      <c r="AA56" s="57">
        <v>5E-05</v>
      </c>
      <c r="AB56" s="57"/>
      <c r="AC56" s="32">
        <f t="shared" si="6"/>
        <v>5</v>
      </c>
      <c r="AD56" s="52" t="s">
        <v>206</v>
      </c>
    </row>
    <row r="57" spans="1:30" s="41" customFormat="1" ht="12.75">
      <c r="A57" s="64" t="s">
        <v>207</v>
      </c>
      <c r="B57" s="38">
        <f t="shared" si="7"/>
        <v>55</v>
      </c>
      <c r="C57" s="38" t="s">
        <v>208</v>
      </c>
      <c r="D57" s="38">
        <v>944</v>
      </c>
      <c r="E57" s="38">
        <v>301.54</v>
      </c>
      <c r="F57" s="38">
        <v>1.87</v>
      </c>
      <c r="G57" s="38">
        <v>132.9054</v>
      </c>
      <c r="H57" s="38">
        <v>1</v>
      </c>
      <c r="I57" s="38">
        <v>2.35</v>
      </c>
      <c r="J57" s="38">
        <v>3.34</v>
      </c>
      <c r="K57" s="38">
        <v>3.894</v>
      </c>
      <c r="L57" s="38">
        <v>0.24</v>
      </c>
      <c r="M57" s="39">
        <v>35.9</v>
      </c>
      <c r="N57" s="39">
        <v>5.3</v>
      </c>
      <c r="O57" s="40">
        <v>2.092</v>
      </c>
      <c r="P57" s="38">
        <v>67.74</v>
      </c>
      <c r="Q57" s="38">
        <v>0.79</v>
      </c>
      <c r="R57" s="39">
        <f ca="1">YEAR(NOW())-1860</f>
        <v>146</v>
      </c>
      <c r="S57" s="53" t="s">
        <v>43</v>
      </c>
      <c r="T57" s="39">
        <v>1</v>
      </c>
      <c r="U57" s="39" t="s">
        <v>33</v>
      </c>
      <c r="V57" s="39" t="s">
        <v>34</v>
      </c>
      <c r="W57" s="39"/>
      <c r="X57" s="39"/>
      <c r="Y57" s="39"/>
      <c r="Z57" s="61">
        <v>3</v>
      </c>
      <c r="AA57" s="62">
        <v>0.0003</v>
      </c>
      <c r="AB57" s="62">
        <v>2E-06</v>
      </c>
      <c r="AC57" s="32">
        <f t="shared" si="6"/>
        <v>6</v>
      </c>
      <c r="AD57" s="64" t="s">
        <v>209</v>
      </c>
    </row>
    <row r="58" spans="1:30" ht="12.75">
      <c r="A58" s="51" t="s">
        <v>210</v>
      </c>
      <c r="B58" s="23">
        <f t="shared" si="7"/>
        <v>56</v>
      </c>
      <c r="C58" s="23" t="s">
        <v>211</v>
      </c>
      <c r="D58" s="23">
        <v>2078</v>
      </c>
      <c r="E58" s="23">
        <v>1002</v>
      </c>
      <c r="F58" s="23">
        <v>3.59</v>
      </c>
      <c r="G58" s="23">
        <v>137.33</v>
      </c>
      <c r="H58" s="23">
        <v>2</v>
      </c>
      <c r="I58" s="23">
        <v>1.98</v>
      </c>
      <c r="J58" s="23">
        <v>2.76</v>
      </c>
      <c r="K58" s="23">
        <v>5.212</v>
      </c>
      <c r="L58" s="23">
        <v>0.204</v>
      </c>
      <c r="M58" s="22">
        <v>18.4</v>
      </c>
      <c r="N58" s="22">
        <v>2.8</v>
      </c>
      <c r="O58" s="30">
        <v>8.01</v>
      </c>
      <c r="P58" s="23">
        <v>140.2</v>
      </c>
      <c r="Q58" s="23">
        <v>0.89</v>
      </c>
      <c r="R58" s="22">
        <f ca="1">YEAR(NOW())-1808</f>
        <v>198</v>
      </c>
      <c r="S58" s="51" t="s">
        <v>47</v>
      </c>
      <c r="T58" s="22">
        <v>2</v>
      </c>
      <c r="U58" s="22" t="s">
        <v>33</v>
      </c>
      <c r="V58" s="22" t="s">
        <v>34</v>
      </c>
      <c r="Z58" s="56">
        <v>425</v>
      </c>
      <c r="AA58" s="58">
        <v>0.013</v>
      </c>
      <c r="AB58" s="58">
        <v>3E-05</v>
      </c>
      <c r="AC58" s="32">
        <f t="shared" si="6"/>
        <v>6</v>
      </c>
      <c r="AD58" s="51" t="s">
        <v>212</v>
      </c>
    </row>
    <row r="59" spans="1:30" ht="12.75">
      <c r="A59" s="51" t="s">
        <v>213</v>
      </c>
      <c r="B59" s="23">
        <f t="shared" si="7"/>
        <v>57</v>
      </c>
      <c r="C59" s="23" t="s">
        <v>214</v>
      </c>
      <c r="D59" s="23">
        <v>3737</v>
      </c>
      <c r="E59" s="23">
        <v>1191</v>
      </c>
      <c r="F59" s="23">
        <v>6.15</v>
      </c>
      <c r="G59" s="23">
        <v>138.9055</v>
      </c>
      <c r="H59" s="23">
        <v>3</v>
      </c>
      <c r="I59" s="23">
        <v>1.25</v>
      </c>
      <c r="J59" s="23">
        <v>2.74</v>
      </c>
      <c r="K59" s="23">
        <v>5.58</v>
      </c>
      <c r="L59" s="23">
        <v>0.19</v>
      </c>
      <c r="M59" s="22">
        <v>13.5</v>
      </c>
      <c r="N59" s="22">
        <v>1.9</v>
      </c>
      <c r="O59" s="30">
        <v>11.3</v>
      </c>
      <c r="P59" s="23">
        <v>399.57</v>
      </c>
      <c r="Q59" s="23">
        <v>1.1</v>
      </c>
      <c r="R59" s="22">
        <f ca="1">YEAR(NOW())-1839</f>
        <v>167</v>
      </c>
      <c r="S59" s="51" t="s">
        <v>215</v>
      </c>
      <c r="T59" s="22">
        <v>3</v>
      </c>
      <c r="U59" s="22" t="s">
        <v>106</v>
      </c>
      <c r="V59" s="22" t="s">
        <v>34</v>
      </c>
      <c r="Z59" s="56">
        <v>39</v>
      </c>
      <c r="AA59" s="58">
        <v>3.4E-06</v>
      </c>
      <c r="AC59" s="32">
        <f t="shared" si="6"/>
        <v>9</v>
      </c>
      <c r="AD59" s="51" t="s">
        <v>216</v>
      </c>
    </row>
    <row r="60" spans="1:30" ht="12.75">
      <c r="A60" s="51" t="s">
        <v>217</v>
      </c>
      <c r="B60" s="23">
        <f t="shared" si="7"/>
        <v>58</v>
      </c>
      <c r="C60" s="23" t="s">
        <v>218</v>
      </c>
      <c r="D60" s="23">
        <v>3715</v>
      </c>
      <c r="E60" s="23">
        <v>1071</v>
      </c>
      <c r="F60" s="23">
        <v>6.77</v>
      </c>
      <c r="G60" s="23">
        <v>140.12</v>
      </c>
      <c r="H60" s="23">
        <v>3</v>
      </c>
      <c r="I60" s="23">
        <v>1.65</v>
      </c>
      <c r="J60" s="23">
        <v>2.7</v>
      </c>
      <c r="K60" s="23">
        <v>5.54</v>
      </c>
      <c r="L60" s="23">
        <v>0.19</v>
      </c>
      <c r="M60" s="22">
        <v>11.4</v>
      </c>
      <c r="N60" s="22">
        <v>1.4</v>
      </c>
      <c r="O60" s="30">
        <v>9.2</v>
      </c>
      <c r="P60" s="23">
        <v>313.8</v>
      </c>
      <c r="Q60" s="23">
        <v>1.12</v>
      </c>
      <c r="R60" s="22">
        <f ca="1">YEAR(NOW())-1803</f>
        <v>203</v>
      </c>
      <c r="S60" s="51" t="s">
        <v>215</v>
      </c>
      <c r="T60" s="22">
        <v>3</v>
      </c>
      <c r="U60" s="22" t="s">
        <v>219</v>
      </c>
      <c r="V60" s="22" t="s">
        <v>34</v>
      </c>
      <c r="W60" s="22">
        <v>4</v>
      </c>
      <c r="Z60" s="56">
        <v>66.5</v>
      </c>
      <c r="AA60" s="58">
        <v>1.2E-06</v>
      </c>
      <c r="AC60" s="32">
        <f t="shared" si="6"/>
        <v>6</v>
      </c>
      <c r="AD60" s="51" t="s">
        <v>220</v>
      </c>
    </row>
    <row r="61" spans="1:30" ht="12.75">
      <c r="A61" s="51" t="s">
        <v>221</v>
      </c>
      <c r="B61" s="23">
        <f t="shared" si="7"/>
        <v>59</v>
      </c>
      <c r="C61" s="23" t="s">
        <v>222</v>
      </c>
      <c r="D61" s="23">
        <v>3785</v>
      </c>
      <c r="E61" s="23">
        <v>1204</v>
      </c>
      <c r="F61" s="23">
        <v>6.77</v>
      </c>
      <c r="G61" s="23">
        <v>140.9077</v>
      </c>
      <c r="H61" s="23">
        <v>3</v>
      </c>
      <c r="I61" s="23">
        <v>1.65</v>
      </c>
      <c r="J61" s="23">
        <v>2.67</v>
      </c>
      <c r="K61" s="23">
        <v>5.46</v>
      </c>
      <c r="L61" s="23">
        <v>0.193</v>
      </c>
      <c r="M61" s="22">
        <v>12.5</v>
      </c>
      <c r="N61" s="22">
        <v>1.5</v>
      </c>
      <c r="O61" s="30">
        <v>10.04</v>
      </c>
      <c r="P61" s="23">
        <v>332.63</v>
      </c>
      <c r="Q61" s="23">
        <v>1.13</v>
      </c>
      <c r="R61" s="22">
        <f ca="1">YEAR(NOW())-1885</f>
        <v>121</v>
      </c>
      <c r="S61" s="51" t="s">
        <v>215</v>
      </c>
      <c r="T61" s="22">
        <v>3</v>
      </c>
      <c r="U61" s="22" t="s">
        <v>219</v>
      </c>
      <c r="V61" s="22" t="s">
        <v>34</v>
      </c>
      <c r="W61" s="22">
        <v>4</v>
      </c>
      <c r="Z61" s="56">
        <v>9.2</v>
      </c>
      <c r="AA61" s="58">
        <v>6.4E-07</v>
      </c>
      <c r="AC61" s="32">
        <f t="shared" si="6"/>
        <v>12</v>
      </c>
      <c r="AD61" s="51" t="s">
        <v>223</v>
      </c>
    </row>
    <row r="62" spans="1:30" ht="12.75">
      <c r="A62" s="51" t="s">
        <v>224</v>
      </c>
      <c r="B62" s="23">
        <f t="shared" si="7"/>
        <v>60</v>
      </c>
      <c r="C62" s="23" t="s">
        <v>225</v>
      </c>
      <c r="D62" s="23">
        <v>3347</v>
      </c>
      <c r="E62" s="23">
        <v>1294</v>
      </c>
      <c r="F62" s="23">
        <v>7.01</v>
      </c>
      <c r="G62" s="23">
        <v>144.24</v>
      </c>
      <c r="H62" s="23">
        <v>3</v>
      </c>
      <c r="I62" s="23">
        <v>1.64</v>
      </c>
      <c r="J62" s="23">
        <v>2.64</v>
      </c>
      <c r="K62" s="23">
        <v>5.53</v>
      </c>
      <c r="L62" s="23">
        <v>0.19</v>
      </c>
      <c r="M62" s="22">
        <v>16.5</v>
      </c>
      <c r="N62" s="22">
        <v>1.6</v>
      </c>
      <c r="O62" s="30">
        <v>10.88</v>
      </c>
      <c r="P62" s="23">
        <v>283.68</v>
      </c>
      <c r="Q62" s="23">
        <v>1.14</v>
      </c>
      <c r="R62" s="22">
        <f ca="1">YEAR(NOW())-1841</f>
        <v>165</v>
      </c>
      <c r="S62" s="51" t="s">
        <v>215</v>
      </c>
      <c r="T62" s="22">
        <v>3</v>
      </c>
      <c r="U62" s="22" t="s">
        <v>219</v>
      </c>
      <c r="V62" s="22" t="s">
        <v>34</v>
      </c>
      <c r="Z62" s="56">
        <v>41.5</v>
      </c>
      <c r="AA62" s="58">
        <v>2.8E-06</v>
      </c>
      <c r="AC62" s="32">
        <f t="shared" si="6"/>
        <v>9</v>
      </c>
      <c r="AD62" s="51" t="s">
        <v>226</v>
      </c>
    </row>
    <row r="63" spans="1:30" ht="12.75">
      <c r="A63" s="51" t="s">
        <v>227</v>
      </c>
      <c r="B63" s="23">
        <f t="shared" si="7"/>
        <v>61</v>
      </c>
      <c r="C63" s="23" t="s">
        <v>228</v>
      </c>
      <c r="D63" s="23">
        <v>3273</v>
      </c>
      <c r="E63" s="23">
        <v>1315</v>
      </c>
      <c r="F63" s="23">
        <v>7.22</v>
      </c>
      <c r="G63" s="23">
        <v>145</v>
      </c>
      <c r="H63" s="23">
        <v>3</v>
      </c>
      <c r="I63" s="23">
        <v>1.63</v>
      </c>
      <c r="J63" s="23">
        <v>2.62</v>
      </c>
      <c r="K63" s="23">
        <v>5.554</v>
      </c>
      <c r="L63" s="23"/>
      <c r="M63" s="22">
        <v>17.9</v>
      </c>
      <c r="N63" s="22">
        <v>2</v>
      </c>
      <c r="P63" s="25"/>
      <c r="Q63" s="23">
        <v>1.13</v>
      </c>
      <c r="R63" s="22">
        <f ca="1">YEAR(NOW())-1941</f>
        <v>65</v>
      </c>
      <c r="S63" s="51" t="s">
        <v>215</v>
      </c>
      <c r="T63" s="22">
        <v>3</v>
      </c>
      <c r="U63" s="22" t="s">
        <v>219</v>
      </c>
      <c r="V63" s="22" t="s">
        <v>34</v>
      </c>
      <c r="AC63" s="32">
        <f t="shared" si="6"/>
        <v>10</v>
      </c>
      <c r="AD63" s="51" t="s">
        <v>229</v>
      </c>
    </row>
    <row r="64" spans="1:30" ht="12.75">
      <c r="A64" s="51" t="s">
        <v>230</v>
      </c>
      <c r="B64" s="23">
        <f t="shared" si="7"/>
        <v>62</v>
      </c>
      <c r="C64" s="23" t="s">
        <v>231</v>
      </c>
      <c r="D64" s="23">
        <v>2067</v>
      </c>
      <c r="E64" s="23">
        <v>1347</v>
      </c>
      <c r="F64" s="23">
        <v>2.75</v>
      </c>
      <c r="G64" s="23">
        <v>150.36</v>
      </c>
      <c r="H64" s="23">
        <v>3</v>
      </c>
      <c r="I64" s="23">
        <v>1.62</v>
      </c>
      <c r="J64" s="23">
        <v>2.59</v>
      </c>
      <c r="K64" s="23">
        <v>5.64</v>
      </c>
      <c r="L64" s="23">
        <v>0.197</v>
      </c>
      <c r="M64" s="22" t="s">
        <v>232</v>
      </c>
      <c r="N64" s="22">
        <v>1.1</v>
      </c>
      <c r="O64" s="30">
        <v>11.09</v>
      </c>
      <c r="P64" s="23">
        <v>191.63</v>
      </c>
      <c r="Q64" s="23">
        <v>1.17</v>
      </c>
      <c r="R64" s="22">
        <f ca="1">YEAR(NOW())-1879</f>
        <v>127</v>
      </c>
      <c r="S64" s="51" t="s">
        <v>215</v>
      </c>
      <c r="T64" s="22">
        <v>3</v>
      </c>
      <c r="U64" s="22" t="s">
        <v>219</v>
      </c>
      <c r="V64" s="22" t="s">
        <v>34</v>
      </c>
      <c r="W64" s="22">
        <v>2</v>
      </c>
      <c r="Z64" s="56">
        <v>7.05</v>
      </c>
      <c r="AA64" s="58">
        <v>4.5E-07</v>
      </c>
      <c r="AC64" s="32">
        <f t="shared" si="6"/>
        <v>8</v>
      </c>
      <c r="AD64" s="51" t="s">
        <v>233</v>
      </c>
    </row>
    <row r="65" spans="1:30" ht="12.75">
      <c r="A65" s="51" t="s">
        <v>234</v>
      </c>
      <c r="B65" s="23">
        <f t="shared" si="7"/>
        <v>63</v>
      </c>
      <c r="C65" s="23" t="s">
        <v>235</v>
      </c>
      <c r="D65" s="23">
        <v>1800</v>
      </c>
      <c r="E65" s="23">
        <v>1095</v>
      </c>
      <c r="F65" s="23">
        <v>5.24</v>
      </c>
      <c r="G65" s="23">
        <v>151.965</v>
      </c>
      <c r="H65" s="23">
        <v>3</v>
      </c>
      <c r="I65" s="23">
        <v>1.85</v>
      </c>
      <c r="J65" s="23">
        <v>2.56</v>
      </c>
      <c r="K65" s="23">
        <v>5.67</v>
      </c>
      <c r="L65" s="23">
        <v>0.182</v>
      </c>
      <c r="M65" s="22">
        <v>13.9</v>
      </c>
      <c r="N65" s="22">
        <v>1.1</v>
      </c>
      <c r="O65" s="30">
        <v>10.46</v>
      </c>
      <c r="P65" s="23">
        <v>175.73</v>
      </c>
      <c r="Q65" s="23">
        <v>1.2</v>
      </c>
      <c r="R65" s="22">
        <f ca="1">YEAR(NOW())-1901</f>
        <v>105</v>
      </c>
      <c r="S65" s="51" t="s">
        <v>215</v>
      </c>
      <c r="T65" s="22">
        <v>3</v>
      </c>
      <c r="U65" s="22" t="s">
        <v>219</v>
      </c>
      <c r="V65" s="22" t="s">
        <v>34</v>
      </c>
      <c r="W65" s="22">
        <v>2</v>
      </c>
      <c r="Z65" s="56">
        <v>2</v>
      </c>
      <c r="AA65" s="58">
        <v>1.3E-07</v>
      </c>
      <c r="AC65" s="32">
        <f t="shared" si="6"/>
        <v>8</v>
      </c>
      <c r="AD65" s="51" t="s">
        <v>236</v>
      </c>
    </row>
    <row r="66" spans="1:30" ht="12.75">
      <c r="A66" s="51" t="s">
        <v>237</v>
      </c>
      <c r="B66" s="23">
        <f t="shared" si="7"/>
        <v>64</v>
      </c>
      <c r="C66" s="23" t="s">
        <v>238</v>
      </c>
      <c r="D66" s="23">
        <v>3545</v>
      </c>
      <c r="E66" s="23">
        <v>1585</v>
      </c>
      <c r="F66" s="23">
        <v>7.9</v>
      </c>
      <c r="G66" s="23">
        <v>157.25</v>
      </c>
      <c r="H66" s="23">
        <v>3</v>
      </c>
      <c r="I66" s="23">
        <v>1.61</v>
      </c>
      <c r="J66" s="23">
        <v>2.54</v>
      </c>
      <c r="K66" s="23">
        <v>6.15</v>
      </c>
      <c r="L66" s="23">
        <v>0.236</v>
      </c>
      <c r="M66" s="22">
        <v>10.6</v>
      </c>
      <c r="N66" s="22">
        <v>0.8</v>
      </c>
      <c r="O66" s="30">
        <v>15.48</v>
      </c>
      <c r="P66" s="23">
        <v>311.71</v>
      </c>
      <c r="Q66" s="23">
        <v>1.2</v>
      </c>
      <c r="R66" s="22">
        <f ca="1">YEAR(NOW())-1886</f>
        <v>120</v>
      </c>
      <c r="S66" s="51" t="s">
        <v>215</v>
      </c>
      <c r="T66" s="22">
        <v>3</v>
      </c>
      <c r="U66" s="22" t="s">
        <v>219</v>
      </c>
      <c r="V66" s="22" t="s">
        <v>34</v>
      </c>
      <c r="Z66" s="56">
        <v>6.2</v>
      </c>
      <c r="AA66" s="58">
        <v>7E-07</v>
      </c>
      <c r="AC66" s="32">
        <f t="shared" si="6"/>
        <v>10</v>
      </c>
      <c r="AD66" s="51" t="s">
        <v>239</v>
      </c>
    </row>
    <row r="67" spans="1:30" ht="12.75">
      <c r="A67" s="51" t="s">
        <v>240</v>
      </c>
      <c r="B67" s="23">
        <f t="shared" si="7"/>
        <v>65</v>
      </c>
      <c r="C67" s="23" t="s">
        <v>241</v>
      </c>
      <c r="D67" s="23">
        <v>3500</v>
      </c>
      <c r="E67" s="23">
        <v>1629</v>
      </c>
      <c r="F67" s="23">
        <v>8.23</v>
      </c>
      <c r="G67" s="23">
        <v>158.9253</v>
      </c>
      <c r="H67" s="23">
        <v>3</v>
      </c>
      <c r="I67" s="23">
        <v>1.59</v>
      </c>
      <c r="J67" s="23">
        <v>2.51</v>
      </c>
      <c r="K67" s="23">
        <v>5.86</v>
      </c>
      <c r="L67" s="23">
        <v>0.18</v>
      </c>
      <c r="M67" s="22">
        <v>11.1</v>
      </c>
      <c r="N67" s="22">
        <v>0.9</v>
      </c>
      <c r="P67" s="23"/>
      <c r="Q67" s="23">
        <v>1.2</v>
      </c>
      <c r="R67" s="22">
        <f ca="1">YEAR(NOW())-1843</f>
        <v>163</v>
      </c>
      <c r="S67" s="51" t="s">
        <v>215</v>
      </c>
      <c r="T67" s="22">
        <v>3</v>
      </c>
      <c r="U67" s="22" t="s">
        <v>219</v>
      </c>
      <c r="V67" s="22" t="s">
        <v>34</v>
      </c>
      <c r="W67" s="22">
        <v>4</v>
      </c>
      <c r="Z67" s="56">
        <v>1.2</v>
      </c>
      <c r="AA67" s="58">
        <v>1.4E-07</v>
      </c>
      <c r="AC67" s="32">
        <f t="shared" si="6"/>
        <v>7</v>
      </c>
      <c r="AD67" s="51" t="s">
        <v>242</v>
      </c>
    </row>
    <row r="68" spans="1:30" ht="12.75">
      <c r="A68" s="51" t="s">
        <v>243</v>
      </c>
      <c r="B68" s="23">
        <f t="shared" si="7"/>
        <v>66</v>
      </c>
      <c r="C68" s="23" t="s">
        <v>244</v>
      </c>
      <c r="D68" s="23">
        <v>2840</v>
      </c>
      <c r="E68" s="23">
        <v>1685</v>
      </c>
      <c r="F68" s="23">
        <v>8.55</v>
      </c>
      <c r="G68" s="23">
        <v>162.5</v>
      </c>
      <c r="H68" s="23">
        <v>3</v>
      </c>
      <c r="I68" s="23">
        <v>1.59</v>
      </c>
      <c r="J68" s="23">
        <v>2.49</v>
      </c>
      <c r="K68" s="23">
        <v>5.94</v>
      </c>
      <c r="L68" s="23">
        <v>0.173</v>
      </c>
      <c r="M68" s="22">
        <v>10.7</v>
      </c>
      <c r="N68" s="22">
        <v>1.1</v>
      </c>
      <c r="O68" s="30">
        <v>11.06</v>
      </c>
      <c r="P68" s="23">
        <v>230</v>
      </c>
      <c r="Q68" s="23">
        <v>1.22</v>
      </c>
      <c r="R68" s="22">
        <f ca="1">YEAR(NOW())-1886</f>
        <v>120</v>
      </c>
      <c r="S68" s="51" t="s">
        <v>215</v>
      </c>
      <c r="T68" s="22">
        <v>3</v>
      </c>
      <c r="U68" s="22" t="s">
        <v>219</v>
      </c>
      <c r="V68" s="22" t="s">
        <v>34</v>
      </c>
      <c r="Z68" s="56">
        <v>5.2</v>
      </c>
      <c r="AA68" s="58">
        <v>9.1E-07</v>
      </c>
      <c r="AC68" s="32">
        <f aca="true" t="shared" si="8" ref="AC68:AC83">LEN(A68)</f>
        <v>10</v>
      </c>
      <c r="AD68" s="51" t="s">
        <v>245</v>
      </c>
    </row>
    <row r="69" spans="1:30" ht="12.75">
      <c r="A69" s="51" t="s">
        <v>246</v>
      </c>
      <c r="B69" s="23">
        <f aca="true" t="shared" si="9" ref="B69:B84">B68+1</f>
        <v>67</v>
      </c>
      <c r="C69" s="23" t="s">
        <v>247</v>
      </c>
      <c r="D69" s="23">
        <v>2968</v>
      </c>
      <c r="E69" s="23">
        <v>1747</v>
      </c>
      <c r="F69" s="23">
        <v>8.8</v>
      </c>
      <c r="G69" s="23">
        <v>164.9303</v>
      </c>
      <c r="H69" s="23">
        <v>3</v>
      </c>
      <c r="I69" s="23">
        <v>1.58</v>
      </c>
      <c r="J69" s="23">
        <v>2.47</v>
      </c>
      <c r="K69" s="23">
        <v>6.018</v>
      </c>
      <c r="L69" s="23">
        <v>0.165</v>
      </c>
      <c r="M69" s="22">
        <v>16.2</v>
      </c>
      <c r="N69" s="22">
        <v>1.1</v>
      </c>
      <c r="O69" s="30">
        <v>17.15</v>
      </c>
      <c r="P69" s="23">
        <v>251.04</v>
      </c>
      <c r="Q69" s="23">
        <v>1.23</v>
      </c>
      <c r="R69" s="22">
        <f ca="1">YEAR(NOW())-1878</f>
        <v>128</v>
      </c>
      <c r="S69" s="51" t="s">
        <v>215</v>
      </c>
      <c r="T69" s="22">
        <v>3</v>
      </c>
      <c r="U69" s="22" t="s">
        <v>219</v>
      </c>
      <c r="V69" s="22" t="s">
        <v>34</v>
      </c>
      <c r="Z69" s="56">
        <v>1.3</v>
      </c>
      <c r="AA69" s="58">
        <v>2.2E-07</v>
      </c>
      <c r="AC69" s="32">
        <f t="shared" si="8"/>
        <v>7</v>
      </c>
      <c r="AD69" s="51" t="s">
        <v>248</v>
      </c>
    </row>
    <row r="70" spans="1:30" ht="12.75">
      <c r="A70" s="51" t="s">
        <v>249</v>
      </c>
      <c r="B70" s="23">
        <f t="shared" si="9"/>
        <v>68</v>
      </c>
      <c r="C70" s="23" t="s">
        <v>250</v>
      </c>
      <c r="D70" s="23">
        <v>3140</v>
      </c>
      <c r="E70" s="23">
        <v>1802</v>
      </c>
      <c r="F70" s="23">
        <v>9.07</v>
      </c>
      <c r="G70" s="23">
        <v>167.26</v>
      </c>
      <c r="H70" s="23">
        <v>3</v>
      </c>
      <c r="I70" s="23">
        <v>1.57</v>
      </c>
      <c r="J70" s="23">
        <v>2.45</v>
      </c>
      <c r="K70" s="23">
        <v>6.101</v>
      </c>
      <c r="L70" s="23">
        <v>0.168</v>
      </c>
      <c r="M70" s="22">
        <v>14.3</v>
      </c>
      <c r="N70" s="22">
        <v>1.2</v>
      </c>
      <c r="O70" s="30">
        <v>17.15</v>
      </c>
      <c r="P70" s="23">
        <v>292.88</v>
      </c>
      <c r="Q70" s="23">
        <v>1.24</v>
      </c>
      <c r="R70" s="22">
        <f ca="1">YEAR(NOW())-1842</f>
        <v>164</v>
      </c>
      <c r="S70" s="51" t="s">
        <v>215</v>
      </c>
      <c r="T70" s="22">
        <v>3</v>
      </c>
      <c r="U70" s="22" t="s">
        <v>219</v>
      </c>
      <c r="V70" s="22" t="s">
        <v>34</v>
      </c>
      <c r="Z70" s="56">
        <v>3.5</v>
      </c>
      <c r="AA70" s="58">
        <v>8.7E-07</v>
      </c>
      <c r="AC70" s="32">
        <f t="shared" si="8"/>
        <v>6</v>
      </c>
      <c r="AD70" s="51" t="s">
        <v>251</v>
      </c>
    </row>
    <row r="71" spans="1:30" ht="12.75">
      <c r="A71" s="51" t="s">
        <v>252</v>
      </c>
      <c r="B71" s="23">
        <f t="shared" si="9"/>
        <v>69</v>
      </c>
      <c r="C71" s="23" t="s">
        <v>253</v>
      </c>
      <c r="D71" s="23">
        <v>2223</v>
      </c>
      <c r="E71" s="23">
        <v>1818</v>
      </c>
      <c r="F71" s="23">
        <v>9.32</v>
      </c>
      <c r="G71" s="23">
        <v>168.9342</v>
      </c>
      <c r="H71" s="23">
        <v>3</v>
      </c>
      <c r="I71" s="23">
        <v>1.56</v>
      </c>
      <c r="J71" s="23">
        <v>2.42</v>
      </c>
      <c r="K71" s="23">
        <v>6.184</v>
      </c>
      <c r="L71" s="23">
        <v>0.16</v>
      </c>
      <c r="M71" s="22">
        <v>16.8</v>
      </c>
      <c r="N71" s="22">
        <v>1.3</v>
      </c>
      <c r="O71" s="30">
        <v>16.8</v>
      </c>
      <c r="P71" s="23">
        <v>191</v>
      </c>
      <c r="Q71" s="23">
        <v>1.25</v>
      </c>
      <c r="R71" s="22">
        <f ca="1">YEAR(NOW())-1879</f>
        <v>127</v>
      </c>
      <c r="S71" s="51" t="s">
        <v>215</v>
      </c>
      <c r="T71" s="22">
        <v>3</v>
      </c>
      <c r="U71" s="22" t="s">
        <v>219</v>
      </c>
      <c r="V71" s="22" t="s">
        <v>34</v>
      </c>
      <c r="W71" s="22">
        <v>2</v>
      </c>
      <c r="Z71" s="56">
        <v>0.52</v>
      </c>
      <c r="AA71" s="58">
        <v>1.7E-07</v>
      </c>
      <c r="AC71" s="32">
        <f t="shared" si="8"/>
        <v>7</v>
      </c>
      <c r="AD71" s="51" t="s">
        <v>254</v>
      </c>
    </row>
    <row r="72" spans="1:30" ht="12.75">
      <c r="A72" s="51" t="s">
        <v>255</v>
      </c>
      <c r="B72" s="23">
        <f t="shared" si="9"/>
        <v>70</v>
      </c>
      <c r="C72" s="23" t="s">
        <v>256</v>
      </c>
      <c r="D72" s="23">
        <v>1469</v>
      </c>
      <c r="E72" s="23">
        <v>1092</v>
      </c>
      <c r="F72" s="23">
        <v>6.97</v>
      </c>
      <c r="G72" s="23">
        <v>173.04</v>
      </c>
      <c r="H72" s="23">
        <v>3</v>
      </c>
      <c r="I72" s="23">
        <v>1.7</v>
      </c>
      <c r="J72" s="23">
        <v>2.4</v>
      </c>
      <c r="K72" s="23">
        <v>6.254</v>
      </c>
      <c r="L72" s="23">
        <v>0.155</v>
      </c>
      <c r="M72" s="22">
        <v>34.9</v>
      </c>
      <c r="N72" s="22">
        <v>3.7</v>
      </c>
      <c r="O72" s="30">
        <v>7.7</v>
      </c>
      <c r="P72" s="23">
        <v>128</v>
      </c>
      <c r="Q72" s="23">
        <v>1.1</v>
      </c>
      <c r="R72" s="22">
        <f ca="1">YEAR(NOW())-1907</f>
        <v>99</v>
      </c>
      <c r="S72" s="51" t="s">
        <v>215</v>
      </c>
      <c r="T72" s="22">
        <v>3</v>
      </c>
      <c r="U72" s="22" t="s">
        <v>219</v>
      </c>
      <c r="V72" s="22" t="s">
        <v>34</v>
      </c>
      <c r="W72" s="22">
        <v>2</v>
      </c>
      <c r="Z72" s="56">
        <v>3.2</v>
      </c>
      <c r="AA72" s="58">
        <v>8.2E-07</v>
      </c>
      <c r="AC72" s="32">
        <f t="shared" si="8"/>
        <v>9</v>
      </c>
      <c r="AD72" s="51" t="s">
        <v>257</v>
      </c>
    </row>
    <row r="73" spans="1:30" ht="12.75">
      <c r="A73" s="51" t="s">
        <v>258</v>
      </c>
      <c r="B73" s="23">
        <f t="shared" si="9"/>
        <v>71</v>
      </c>
      <c r="C73" s="23" t="s">
        <v>259</v>
      </c>
      <c r="D73" s="23">
        <v>3668</v>
      </c>
      <c r="E73" s="23">
        <v>1936</v>
      </c>
      <c r="F73" s="23">
        <v>9.84</v>
      </c>
      <c r="G73" s="23">
        <v>174.967</v>
      </c>
      <c r="H73" s="23">
        <v>3</v>
      </c>
      <c r="I73" s="23">
        <v>1.56</v>
      </c>
      <c r="J73" s="23">
        <v>2.25</v>
      </c>
      <c r="K73" s="23">
        <v>5.43</v>
      </c>
      <c r="L73" s="23">
        <v>0.15</v>
      </c>
      <c r="M73" s="22">
        <v>16.4</v>
      </c>
      <c r="N73" s="22">
        <v>1.5</v>
      </c>
      <c r="O73" s="30">
        <v>18.6</v>
      </c>
      <c r="P73" s="23">
        <v>355</v>
      </c>
      <c r="Q73" s="23">
        <v>1.27</v>
      </c>
      <c r="R73" s="22">
        <f ca="1">YEAR(NOW())-1907</f>
        <v>99</v>
      </c>
      <c r="S73" s="51" t="s">
        <v>215</v>
      </c>
      <c r="T73" s="22">
        <v>3</v>
      </c>
      <c r="U73" s="22" t="s">
        <v>106</v>
      </c>
      <c r="V73" s="22" t="s">
        <v>34</v>
      </c>
      <c r="Z73" s="56">
        <v>0.8</v>
      </c>
      <c r="AA73" s="58">
        <v>1.5E-07</v>
      </c>
      <c r="AC73" s="32">
        <f t="shared" si="8"/>
        <v>8</v>
      </c>
      <c r="AD73" s="51" t="s">
        <v>260</v>
      </c>
    </row>
    <row r="74" spans="1:30" ht="12.75">
      <c r="A74" s="51" t="s">
        <v>261</v>
      </c>
      <c r="B74" s="23">
        <f t="shared" si="9"/>
        <v>72</v>
      </c>
      <c r="C74" s="23" t="s">
        <v>262</v>
      </c>
      <c r="D74" s="23">
        <v>4875</v>
      </c>
      <c r="E74" s="23">
        <v>2504</v>
      </c>
      <c r="F74" s="23">
        <v>13.31</v>
      </c>
      <c r="G74" s="23">
        <v>178.49</v>
      </c>
      <c r="H74" s="23">
        <v>4</v>
      </c>
      <c r="I74" s="23">
        <v>1.44</v>
      </c>
      <c r="J74" s="23">
        <v>2.16</v>
      </c>
      <c r="K74" s="23">
        <v>6.65</v>
      </c>
      <c r="L74" s="23">
        <v>0.14</v>
      </c>
      <c r="M74" s="22">
        <v>23</v>
      </c>
      <c r="N74" s="22">
        <v>3.4</v>
      </c>
      <c r="O74" s="30">
        <v>21.76</v>
      </c>
      <c r="P74" s="23">
        <v>661.07</v>
      </c>
      <c r="Q74" s="23">
        <v>1.3</v>
      </c>
      <c r="R74" s="22">
        <f ca="1">YEAR(NOW())-1923</f>
        <v>83</v>
      </c>
      <c r="S74" s="51" t="s">
        <v>105</v>
      </c>
      <c r="T74" s="22">
        <v>4</v>
      </c>
      <c r="U74" s="22" t="s">
        <v>106</v>
      </c>
      <c r="V74" s="22" t="s">
        <v>34</v>
      </c>
      <c r="Z74" s="56">
        <v>3</v>
      </c>
      <c r="AA74" s="58">
        <v>7E-06</v>
      </c>
      <c r="AC74" s="32">
        <f t="shared" si="8"/>
        <v>7</v>
      </c>
      <c r="AD74" s="51" t="s">
        <v>263</v>
      </c>
    </row>
    <row r="75" spans="1:30" ht="12.75">
      <c r="A75" s="51" t="s">
        <v>264</v>
      </c>
      <c r="B75" s="23">
        <f t="shared" si="9"/>
        <v>73</v>
      </c>
      <c r="C75" s="23" t="s">
        <v>265</v>
      </c>
      <c r="D75" s="23">
        <v>5730</v>
      </c>
      <c r="E75" s="23">
        <v>3293</v>
      </c>
      <c r="F75" s="23">
        <v>16.65</v>
      </c>
      <c r="G75" s="23">
        <v>180.9479</v>
      </c>
      <c r="H75" s="23">
        <v>5</v>
      </c>
      <c r="I75" s="23">
        <v>1.34</v>
      </c>
      <c r="J75" s="23">
        <v>2.09</v>
      </c>
      <c r="K75" s="23">
        <v>7.89</v>
      </c>
      <c r="L75" s="23">
        <v>0.14</v>
      </c>
      <c r="M75" s="22">
        <v>57.5</v>
      </c>
      <c r="N75" s="22">
        <v>8.1</v>
      </c>
      <c r="O75" s="30">
        <v>36</v>
      </c>
      <c r="P75" s="23">
        <v>737</v>
      </c>
      <c r="Q75" s="23">
        <v>1.5</v>
      </c>
      <c r="R75" s="22">
        <f ca="1">YEAR(NOW())-1802</f>
        <v>204</v>
      </c>
      <c r="S75" s="51" t="s">
        <v>105</v>
      </c>
      <c r="T75" s="22">
        <v>5</v>
      </c>
      <c r="U75" s="22" t="s">
        <v>106</v>
      </c>
      <c r="V75" s="22" t="s">
        <v>34</v>
      </c>
      <c r="Z75" s="56">
        <v>2</v>
      </c>
      <c r="AA75" s="58">
        <v>2E-06</v>
      </c>
      <c r="AC75" s="32">
        <f t="shared" si="8"/>
        <v>8</v>
      </c>
      <c r="AD75" s="51" t="s">
        <v>266</v>
      </c>
    </row>
    <row r="76" spans="1:30" ht="12.75">
      <c r="A76" s="51" t="s">
        <v>267</v>
      </c>
      <c r="B76" s="23">
        <f t="shared" si="9"/>
        <v>74</v>
      </c>
      <c r="C76" s="23" t="s">
        <v>268</v>
      </c>
      <c r="D76" s="23">
        <v>5825</v>
      </c>
      <c r="E76" s="23">
        <v>3695</v>
      </c>
      <c r="F76" s="23">
        <v>19.3</v>
      </c>
      <c r="G76" s="23">
        <v>183.85</v>
      </c>
      <c r="H76" s="23">
        <v>6</v>
      </c>
      <c r="I76" s="23">
        <v>1.3</v>
      </c>
      <c r="J76" s="23">
        <v>2.02</v>
      </c>
      <c r="K76" s="23">
        <v>7.98</v>
      </c>
      <c r="L76" s="23">
        <v>0.13</v>
      </c>
      <c r="M76" s="22">
        <v>174</v>
      </c>
      <c r="N76" s="22">
        <v>18.2</v>
      </c>
      <c r="O76" s="30">
        <v>35.4</v>
      </c>
      <c r="P76" s="23">
        <v>422.58</v>
      </c>
      <c r="Q76" s="23">
        <v>2.36</v>
      </c>
      <c r="R76" s="22">
        <f ca="1">YEAR(NOW())-1783</f>
        <v>223</v>
      </c>
      <c r="S76" s="51" t="s">
        <v>105</v>
      </c>
      <c r="T76" s="22">
        <v>6</v>
      </c>
      <c r="U76" s="22" t="s">
        <v>106</v>
      </c>
      <c r="V76" s="22" t="s">
        <v>34</v>
      </c>
      <c r="W76" s="22">
        <v>5</v>
      </c>
      <c r="X76" s="22">
        <v>4</v>
      </c>
      <c r="Y76" s="22">
        <v>3</v>
      </c>
      <c r="Z76" s="56">
        <v>1.25</v>
      </c>
      <c r="AA76" s="58">
        <v>0.0001</v>
      </c>
      <c r="AC76" s="32">
        <f t="shared" si="8"/>
        <v>8</v>
      </c>
      <c r="AD76" s="51" t="s">
        <v>269</v>
      </c>
    </row>
    <row r="77" spans="1:30" ht="12.75">
      <c r="A77" s="51" t="s">
        <v>270</v>
      </c>
      <c r="B77" s="23">
        <f t="shared" si="9"/>
        <v>75</v>
      </c>
      <c r="C77" s="23" t="s">
        <v>271</v>
      </c>
      <c r="D77" s="23">
        <v>5870</v>
      </c>
      <c r="E77" s="23">
        <v>3455</v>
      </c>
      <c r="F77" s="23">
        <v>21</v>
      </c>
      <c r="G77" s="23">
        <v>186.207</v>
      </c>
      <c r="H77" s="23">
        <v>7</v>
      </c>
      <c r="I77" s="23">
        <v>1.28</v>
      </c>
      <c r="J77" s="23">
        <v>1.97</v>
      </c>
      <c r="K77" s="23">
        <v>7.88</v>
      </c>
      <c r="L77" s="23">
        <v>0.137</v>
      </c>
      <c r="M77" s="22">
        <v>47.9</v>
      </c>
      <c r="N77" s="22">
        <v>5.8</v>
      </c>
      <c r="O77" s="30">
        <v>33.05</v>
      </c>
      <c r="P77" s="23">
        <v>707.1</v>
      </c>
      <c r="Q77" s="23">
        <v>1.9</v>
      </c>
      <c r="R77" s="22">
        <f ca="1">YEAR(NOW())-1925</f>
        <v>81</v>
      </c>
      <c r="S77" s="51" t="s">
        <v>105</v>
      </c>
      <c r="T77" s="22">
        <v>7</v>
      </c>
      <c r="U77" s="22" t="s">
        <v>106</v>
      </c>
      <c r="V77" s="22" t="s">
        <v>34</v>
      </c>
      <c r="W77" s="22">
        <v>4</v>
      </c>
      <c r="X77" s="22">
        <v>6</v>
      </c>
      <c r="Y77" s="22">
        <v>2</v>
      </c>
      <c r="Z77" s="56">
        <v>0.0007</v>
      </c>
      <c r="AA77" s="58">
        <v>4E-06</v>
      </c>
      <c r="AC77" s="32">
        <f t="shared" si="8"/>
        <v>7</v>
      </c>
      <c r="AD77" s="51" t="s">
        <v>272</v>
      </c>
    </row>
    <row r="78" spans="1:30" ht="12.75">
      <c r="A78" s="51" t="s">
        <v>273</v>
      </c>
      <c r="B78" s="23">
        <f t="shared" si="9"/>
        <v>76</v>
      </c>
      <c r="C78" s="23" t="s">
        <v>274</v>
      </c>
      <c r="D78" s="23">
        <v>5300</v>
      </c>
      <c r="E78" s="23">
        <v>3300</v>
      </c>
      <c r="F78" s="23">
        <v>22.6</v>
      </c>
      <c r="G78" s="23">
        <v>190.2</v>
      </c>
      <c r="H78" s="23">
        <v>4</v>
      </c>
      <c r="I78" s="23">
        <v>1.26</v>
      </c>
      <c r="J78" s="23">
        <v>1.92</v>
      </c>
      <c r="K78" s="23">
        <v>8.7</v>
      </c>
      <c r="L78" s="23">
        <v>0.13</v>
      </c>
      <c r="M78" s="22">
        <v>87.6</v>
      </c>
      <c r="N78" s="22">
        <v>12.3</v>
      </c>
      <c r="O78" s="30">
        <v>29.29</v>
      </c>
      <c r="P78" s="23">
        <v>627.6</v>
      </c>
      <c r="Q78" s="23">
        <v>2.2</v>
      </c>
      <c r="R78" s="22">
        <f ca="1">YEAR(NOW())-1803</f>
        <v>203</v>
      </c>
      <c r="S78" s="51" t="s">
        <v>105</v>
      </c>
      <c r="T78" s="22">
        <v>8</v>
      </c>
      <c r="U78" s="22" t="s">
        <v>106</v>
      </c>
      <c r="V78" s="22" t="s">
        <v>34</v>
      </c>
      <c r="W78" s="22">
        <v>3</v>
      </c>
      <c r="X78" s="22">
        <v>6</v>
      </c>
      <c r="Y78" s="22">
        <v>8</v>
      </c>
      <c r="Z78" s="56">
        <v>0.0015</v>
      </c>
      <c r="AC78" s="32">
        <f t="shared" si="8"/>
        <v>6</v>
      </c>
      <c r="AD78" s="51" t="s">
        <v>275</v>
      </c>
    </row>
    <row r="79" spans="1:30" ht="12.75">
      <c r="A79" s="51" t="s">
        <v>276</v>
      </c>
      <c r="B79" s="23">
        <f t="shared" si="9"/>
        <v>77</v>
      </c>
      <c r="C79" s="23" t="s">
        <v>277</v>
      </c>
      <c r="D79" s="23">
        <v>4700</v>
      </c>
      <c r="E79" s="23">
        <v>2720</v>
      </c>
      <c r="F79" s="23">
        <v>22.6</v>
      </c>
      <c r="G79" s="23">
        <v>192.22</v>
      </c>
      <c r="H79" s="23">
        <v>4</v>
      </c>
      <c r="I79" s="23">
        <v>1.27</v>
      </c>
      <c r="J79" s="23">
        <v>1.87</v>
      </c>
      <c r="K79" s="23">
        <v>9.1</v>
      </c>
      <c r="L79" s="23">
        <v>0.13</v>
      </c>
      <c r="M79" s="22">
        <v>147</v>
      </c>
      <c r="N79" s="22">
        <v>21.3</v>
      </c>
      <c r="O79" s="30">
        <v>26.36</v>
      </c>
      <c r="P79" s="23">
        <v>563.58</v>
      </c>
      <c r="Q79" s="23">
        <v>2.2</v>
      </c>
      <c r="R79" s="22">
        <f ca="1">YEAR(NOW())-1803</f>
        <v>203</v>
      </c>
      <c r="S79" s="51" t="s">
        <v>105</v>
      </c>
      <c r="T79" s="22">
        <v>9</v>
      </c>
      <c r="U79" s="22" t="s">
        <v>106</v>
      </c>
      <c r="V79" s="22" t="s">
        <v>34</v>
      </c>
      <c r="W79" s="22">
        <v>2</v>
      </c>
      <c r="X79" s="22">
        <v>3</v>
      </c>
      <c r="Y79" s="22">
        <v>6</v>
      </c>
      <c r="Z79" s="56">
        <v>0.001</v>
      </c>
      <c r="AC79" s="32">
        <f t="shared" si="8"/>
        <v>7</v>
      </c>
      <c r="AD79" s="51" t="s">
        <v>278</v>
      </c>
    </row>
    <row r="80" spans="1:30" ht="12.75">
      <c r="A80" s="51" t="s">
        <v>279</v>
      </c>
      <c r="B80" s="23">
        <f t="shared" si="9"/>
        <v>78</v>
      </c>
      <c r="C80" s="23" t="s">
        <v>280</v>
      </c>
      <c r="D80" s="23">
        <v>4100</v>
      </c>
      <c r="E80" s="23">
        <v>2042.1</v>
      </c>
      <c r="F80" s="23">
        <v>21.45</v>
      </c>
      <c r="G80" s="23">
        <v>195.08</v>
      </c>
      <c r="H80" s="23">
        <v>4</v>
      </c>
      <c r="I80" s="23">
        <v>1.3</v>
      </c>
      <c r="J80" s="23">
        <v>1.83</v>
      </c>
      <c r="K80" s="23">
        <v>9</v>
      </c>
      <c r="L80" s="23">
        <v>0.13</v>
      </c>
      <c r="M80" s="22">
        <v>71.6</v>
      </c>
      <c r="N80" s="22">
        <v>9.4</v>
      </c>
      <c r="O80" s="30">
        <v>19.66</v>
      </c>
      <c r="P80" s="23">
        <v>510.45</v>
      </c>
      <c r="Q80" s="23">
        <v>2.28</v>
      </c>
      <c r="R80" s="22">
        <f ca="1">YEAR(NOW())-1735</f>
        <v>271</v>
      </c>
      <c r="S80" s="51" t="s">
        <v>105</v>
      </c>
      <c r="T80" s="22">
        <v>10</v>
      </c>
      <c r="U80" s="22" t="s">
        <v>106</v>
      </c>
      <c r="V80" s="22" t="s">
        <v>34</v>
      </c>
      <c r="W80" s="22">
        <v>2</v>
      </c>
      <c r="Z80" s="56">
        <v>0.005</v>
      </c>
      <c r="AC80" s="32">
        <f t="shared" si="8"/>
        <v>8</v>
      </c>
      <c r="AD80" s="51" t="s">
        <v>281</v>
      </c>
    </row>
    <row r="81" spans="1:30" ht="12.75">
      <c r="A81" s="51" t="s">
        <v>282</v>
      </c>
      <c r="B81" s="23">
        <f t="shared" si="9"/>
        <v>79</v>
      </c>
      <c r="C81" s="23" t="s">
        <v>283</v>
      </c>
      <c r="D81" s="23">
        <v>3130</v>
      </c>
      <c r="E81" s="23">
        <v>1337.58</v>
      </c>
      <c r="F81" s="23">
        <v>19.3</v>
      </c>
      <c r="G81" s="23">
        <v>196.9665</v>
      </c>
      <c r="H81" s="23">
        <v>3</v>
      </c>
      <c r="I81" s="23">
        <v>1.34</v>
      </c>
      <c r="J81" s="23">
        <v>1.79</v>
      </c>
      <c r="K81" s="23">
        <v>9.225</v>
      </c>
      <c r="L81" s="23">
        <v>0.128</v>
      </c>
      <c r="M81" s="22">
        <v>317</v>
      </c>
      <c r="N81" s="22">
        <v>48.8</v>
      </c>
      <c r="O81" s="30">
        <v>12.36</v>
      </c>
      <c r="P81" s="23">
        <v>324.43</v>
      </c>
      <c r="Q81" s="23">
        <v>2.54</v>
      </c>
      <c r="R81" s="22" t="s">
        <v>56</v>
      </c>
      <c r="S81" s="51" t="s">
        <v>105</v>
      </c>
      <c r="T81" s="22">
        <v>11</v>
      </c>
      <c r="U81" s="22" t="s">
        <v>106</v>
      </c>
      <c r="V81" s="22" t="s">
        <v>34</v>
      </c>
      <c r="W81" s="22">
        <v>1</v>
      </c>
      <c r="Z81" s="56">
        <v>0.004</v>
      </c>
      <c r="AA81" s="58">
        <v>0.004</v>
      </c>
      <c r="AB81" s="58">
        <v>1E-05</v>
      </c>
      <c r="AC81" s="32">
        <f t="shared" si="8"/>
        <v>4</v>
      </c>
      <c r="AD81" s="51" t="s">
        <v>284</v>
      </c>
    </row>
    <row r="82" spans="1:30" s="41" customFormat="1" ht="12.75">
      <c r="A82" s="64" t="s">
        <v>285</v>
      </c>
      <c r="B82" s="38">
        <f t="shared" si="9"/>
        <v>80</v>
      </c>
      <c r="C82" s="38" t="s">
        <v>286</v>
      </c>
      <c r="D82" s="38">
        <v>629.88</v>
      </c>
      <c r="E82" s="38">
        <v>234.31</v>
      </c>
      <c r="F82" s="38">
        <v>13.55</v>
      </c>
      <c r="G82" s="38">
        <v>200.59</v>
      </c>
      <c r="H82" s="38">
        <v>2</v>
      </c>
      <c r="I82" s="38">
        <v>1.49</v>
      </c>
      <c r="J82" s="38">
        <v>1.76</v>
      </c>
      <c r="K82" s="38">
        <v>10.437</v>
      </c>
      <c r="L82" s="38">
        <v>0.14</v>
      </c>
      <c r="M82" s="39">
        <v>8.34</v>
      </c>
      <c r="N82" s="39">
        <v>1</v>
      </c>
      <c r="O82" s="40">
        <v>2.292</v>
      </c>
      <c r="P82" s="38">
        <v>59.3</v>
      </c>
      <c r="Q82" s="38">
        <v>2</v>
      </c>
      <c r="R82" s="39" t="s">
        <v>56</v>
      </c>
      <c r="S82" s="51" t="s">
        <v>105</v>
      </c>
      <c r="T82" s="39">
        <v>12</v>
      </c>
      <c r="U82" s="39" t="s">
        <v>106</v>
      </c>
      <c r="V82" s="39" t="s">
        <v>34</v>
      </c>
      <c r="W82" s="39">
        <v>1</v>
      </c>
      <c r="X82" s="39"/>
      <c r="Y82" s="39"/>
      <c r="Z82" s="61">
        <v>0.085</v>
      </c>
      <c r="AA82" s="62">
        <v>3E-05</v>
      </c>
      <c r="AB82" s="62"/>
      <c r="AC82" s="32">
        <f t="shared" si="8"/>
        <v>7</v>
      </c>
      <c r="AD82" s="64" t="s">
        <v>287</v>
      </c>
    </row>
    <row r="83" spans="1:30" ht="12.75">
      <c r="A83" s="51" t="s">
        <v>288</v>
      </c>
      <c r="B83" s="23">
        <f t="shared" si="9"/>
        <v>81</v>
      </c>
      <c r="C83" s="23" t="s">
        <v>289</v>
      </c>
      <c r="D83" s="23">
        <v>1746</v>
      </c>
      <c r="E83" s="23">
        <v>577</v>
      </c>
      <c r="F83" s="23">
        <v>11.85</v>
      </c>
      <c r="G83" s="23">
        <v>204.383</v>
      </c>
      <c r="H83" s="23">
        <v>1</v>
      </c>
      <c r="I83" s="23">
        <v>1.48</v>
      </c>
      <c r="J83" s="23">
        <v>2.08</v>
      </c>
      <c r="K83" s="23">
        <v>6.108</v>
      </c>
      <c r="L83" s="23">
        <v>0.129</v>
      </c>
      <c r="M83" s="22">
        <v>46.1</v>
      </c>
      <c r="N83" s="22">
        <v>5.6</v>
      </c>
      <c r="O83" s="30">
        <v>4.27</v>
      </c>
      <c r="P83" s="23">
        <v>162.09</v>
      </c>
      <c r="Q83" s="23">
        <v>2.04</v>
      </c>
      <c r="R83" s="22">
        <f ca="1">YEAR(NOW())-1861</f>
        <v>145</v>
      </c>
      <c r="S83" s="51" t="s">
        <v>51</v>
      </c>
      <c r="T83" s="22">
        <v>13</v>
      </c>
      <c r="U83" s="22" t="s">
        <v>52</v>
      </c>
      <c r="V83" s="22" t="s">
        <v>34</v>
      </c>
      <c r="W83" s="22">
        <v>3</v>
      </c>
      <c r="Z83" s="56">
        <v>0.85</v>
      </c>
      <c r="AA83" s="58">
        <v>1.9E-05</v>
      </c>
      <c r="AC83" s="32">
        <f t="shared" si="8"/>
        <v>8</v>
      </c>
      <c r="AD83" s="51" t="s">
        <v>290</v>
      </c>
    </row>
    <row r="84" spans="1:30" ht="12.75">
      <c r="A84" s="51" t="s">
        <v>291</v>
      </c>
      <c r="B84" s="23">
        <f t="shared" si="9"/>
        <v>82</v>
      </c>
      <c r="C84" s="23" t="s">
        <v>292</v>
      </c>
      <c r="D84" s="23">
        <v>2023</v>
      </c>
      <c r="E84" s="23">
        <v>600.65</v>
      </c>
      <c r="F84" s="23">
        <v>11.35</v>
      </c>
      <c r="G84" s="23">
        <v>207.2</v>
      </c>
      <c r="H84" s="23">
        <v>2</v>
      </c>
      <c r="I84" s="23">
        <v>1.47</v>
      </c>
      <c r="J84" s="23">
        <v>1.81</v>
      </c>
      <c r="K84" s="23">
        <v>7.416</v>
      </c>
      <c r="L84" s="23">
        <v>0.129</v>
      </c>
      <c r="M84" s="22">
        <v>35.3</v>
      </c>
      <c r="N84" s="22">
        <v>4.8</v>
      </c>
      <c r="O84" s="30">
        <v>4.77</v>
      </c>
      <c r="P84" s="23">
        <v>177.9</v>
      </c>
      <c r="Q84" s="23">
        <v>2.33</v>
      </c>
      <c r="R84" s="22" t="s">
        <v>56</v>
      </c>
      <c r="S84" s="51" t="s">
        <v>57</v>
      </c>
      <c r="T84" s="22">
        <v>14</v>
      </c>
      <c r="U84" s="22" t="s">
        <v>52</v>
      </c>
      <c r="V84" s="22" t="s">
        <v>34</v>
      </c>
      <c r="W84" s="22">
        <v>4</v>
      </c>
      <c r="Z84" s="56">
        <v>0.14</v>
      </c>
      <c r="AA84" s="58">
        <v>3E-05</v>
      </c>
      <c r="AB84" s="58">
        <v>0.00017</v>
      </c>
      <c r="AC84" s="32">
        <f aca="true" t="shared" si="10" ref="AC84:AC99">LEN(A84)</f>
        <v>4</v>
      </c>
      <c r="AD84" s="51" t="s">
        <v>293</v>
      </c>
    </row>
    <row r="85" spans="1:30" ht="12.75">
      <c r="A85" s="51" t="s">
        <v>294</v>
      </c>
      <c r="B85" s="23">
        <f aca="true" t="shared" si="11" ref="B85:B100">B84+1</f>
        <v>83</v>
      </c>
      <c r="C85" s="23" t="s">
        <v>295</v>
      </c>
      <c r="D85" s="23">
        <v>1837</v>
      </c>
      <c r="E85" s="23">
        <v>544.59</v>
      </c>
      <c r="F85" s="23">
        <v>9.75</v>
      </c>
      <c r="G85" s="23">
        <v>208.9804</v>
      </c>
      <c r="H85" s="23">
        <v>3</v>
      </c>
      <c r="I85" s="23">
        <v>1.46</v>
      </c>
      <c r="J85" s="23">
        <v>1.63</v>
      </c>
      <c r="K85" s="23">
        <v>7.289</v>
      </c>
      <c r="L85" s="23">
        <v>0.122</v>
      </c>
      <c r="M85" s="22">
        <v>7.87</v>
      </c>
      <c r="N85" s="22">
        <v>0.9</v>
      </c>
      <c r="O85" s="30">
        <v>11</v>
      </c>
      <c r="P85" s="23">
        <v>179</v>
      </c>
      <c r="Q85" s="23">
        <v>2.02</v>
      </c>
      <c r="R85" s="22">
        <f ca="1">YEAR(NOW())-1753</f>
        <v>253</v>
      </c>
      <c r="S85" s="51" t="s">
        <v>60</v>
      </c>
      <c r="T85" s="22">
        <v>15</v>
      </c>
      <c r="U85" s="22" t="s">
        <v>52</v>
      </c>
      <c r="V85" s="22" t="s">
        <v>34</v>
      </c>
      <c r="W85" s="22">
        <v>5</v>
      </c>
      <c r="Z85" s="56">
        <v>0.0085</v>
      </c>
      <c r="AA85" s="58">
        <v>2E-05</v>
      </c>
      <c r="AC85" s="32">
        <f t="shared" si="10"/>
        <v>7</v>
      </c>
      <c r="AD85" s="51" t="s">
        <v>296</v>
      </c>
    </row>
    <row r="86" spans="1:30" ht="12.75">
      <c r="A86" s="51" t="s">
        <v>297</v>
      </c>
      <c r="B86" s="23">
        <f t="shared" si="11"/>
        <v>84</v>
      </c>
      <c r="C86" s="23" t="s">
        <v>298</v>
      </c>
      <c r="D86" s="23">
        <v>1235</v>
      </c>
      <c r="E86" s="23">
        <v>527</v>
      </c>
      <c r="F86" s="23">
        <v>9.3</v>
      </c>
      <c r="G86" s="23">
        <v>209</v>
      </c>
      <c r="H86" s="23">
        <v>4</v>
      </c>
      <c r="I86" s="23">
        <v>1.53</v>
      </c>
      <c r="J86" s="23">
        <v>1.53</v>
      </c>
      <c r="K86" s="23">
        <v>8.42</v>
      </c>
      <c r="L86" s="23"/>
      <c r="M86" s="22">
        <v>20</v>
      </c>
      <c r="N86" s="22">
        <v>0.7</v>
      </c>
      <c r="O86" s="30">
        <v>13</v>
      </c>
      <c r="P86" s="23">
        <v>120</v>
      </c>
      <c r="Q86" s="23">
        <v>2</v>
      </c>
      <c r="R86" s="22">
        <f ca="1">YEAR(NOW())-1898</f>
        <v>108</v>
      </c>
      <c r="S86" s="51" t="s">
        <v>64</v>
      </c>
      <c r="T86" s="22">
        <v>16</v>
      </c>
      <c r="U86" s="22" t="s">
        <v>52</v>
      </c>
      <c r="V86" s="22" t="s">
        <v>34</v>
      </c>
      <c r="W86" s="22">
        <v>2</v>
      </c>
      <c r="X86" s="22">
        <v>6</v>
      </c>
      <c r="Z86" s="56">
        <v>2E-10</v>
      </c>
      <c r="AA86" s="58">
        <v>1.4E-14</v>
      </c>
      <c r="AC86" s="32">
        <f t="shared" si="10"/>
        <v>8</v>
      </c>
      <c r="AD86" s="51" t="s">
        <v>299</v>
      </c>
    </row>
    <row r="87" spans="1:30" ht="12.75">
      <c r="A87" s="51" t="s">
        <v>300</v>
      </c>
      <c r="B87" s="23">
        <f t="shared" si="11"/>
        <v>85</v>
      </c>
      <c r="C87" s="23" t="s">
        <v>301</v>
      </c>
      <c r="D87" s="23">
        <v>610</v>
      </c>
      <c r="E87" s="23">
        <v>575</v>
      </c>
      <c r="F87" s="23"/>
      <c r="G87" s="23">
        <v>210</v>
      </c>
      <c r="H87" s="23">
        <v>1</v>
      </c>
      <c r="I87" s="23">
        <v>1.47</v>
      </c>
      <c r="J87" s="23">
        <v>1.43</v>
      </c>
      <c r="K87" s="23" t="s">
        <v>302</v>
      </c>
      <c r="L87" s="23"/>
      <c r="M87" s="22">
        <v>1.7</v>
      </c>
      <c r="O87" s="30">
        <v>12</v>
      </c>
      <c r="P87" s="23">
        <v>30</v>
      </c>
      <c r="Q87" s="23">
        <v>2.2</v>
      </c>
      <c r="R87" s="22">
        <f ca="1">YEAR(NOW())-1940</f>
        <v>66</v>
      </c>
      <c r="S87" s="51" t="s">
        <v>68</v>
      </c>
      <c r="T87" s="22">
        <v>17</v>
      </c>
      <c r="U87" s="22" t="s">
        <v>52</v>
      </c>
      <c r="V87" s="22" t="s">
        <v>39</v>
      </c>
      <c r="W87" s="22">
        <v>3</v>
      </c>
      <c r="X87" s="22">
        <v>5</v>
      </c>
      <c r="Y87" s="22">
        <v>7</v>
      </c>
      <c r="AC87" s="32">
        <f t="shared" si="10"/>
        <v>8</v>
      </c>
      <c r="AD87" s="51" t="s">
        <v>303</v>
      </c>
    </row>
    <row r="88" spans="1:30" s="34" customFormat="1" ht="12.75">
      <c r="A88" s="52" t="s">
        <v>304</v>
      </c>
      <c r="B88" s="26">
        <f t="shared" si="11"/>
        <v>86</v>
      </c>
      <c r="C88" s="26" t="s">
        <v>305</v>
      </c>
      <c r="D88" s="26">
        <v>211.4</v>
      </c>
      <c r="E88" s="26">
        <v>202</v>
      </c>
      <c r="F88" s="26">
        <v>9.73</v>
      </c>
      <c r="G88" s="26">
        <v>222</v>
      </c>
      <c r="H88" s="26">
        <v>0</v>
      </c>
      <c r="I88" s="26"/>
      <c r="J88" s="26">
        <v>1.34</v>
      </c>
      <c r="K88" s="26">
        <v>10.748</v>
      </c>
      <c r="L88" s="26">
        <v>0.094</v>
      </c>
      <c r="M88" s="32">
        <v>0.00364</v>
      </c>
      <c r="N88" s="32"/>
      <c r="O88" s="33">
        <v>2.9</v>
      </c>
      <c r="P88" s="26">
        <v>16.4</v>
      </c>
      <c r="Q88" s="35"/>
      <c r="R88" s="32">
        <f ca="1">YEAR(NOW())-1900</f>
        <v>106</v>
      </c>
      <c r="S88" s="52" t="s">
        <v>38</v>
      </c>
      <c r="T88" s="32">
        <v>18</v>
      </c>
      <c r="U88" s="32" t="s">
        <v>52</v>
      </c>
      <c r="V88" s="32" t="s">
        <v>39</v>
      </c>
      <c r="W88" s="32">
        <v>2</v>
      </c>
      <c r="X88" s="32"/>
      <c r="Y88" s="32"/>
      <c r="Z88" s="55">
        <v>4E-13</v>
      </c>
      <c r="AA88" s="57">
        <v>6E-16</v>
      </c>
      <c r="AB88" s="57"/>
      <c r="AC88" s="32">
        <f t="shared" si="10"/>
        <v>5</v>
      </c>
      <c r="AD88" s="52" t="s">
        <v>306</v>
      </c>
    </row>
    <row r="89" spans="1:30" s="53" customFormat="1" ht="12.75">
      <c r="A89" s="53" t="s">
        <v>307</v>
      </c>
      <c r="B89" s="38">
        <f t="shared" si="11"/>
        <v>87</v>
      </c>
      <c r="C89" s="38" t="s">
        <v>308</v>
      </c>
      <c r="D89" s="38">
        <v>950</v>
      </c>
      <c r="E89" s="38">
        <v>300</v>
      </c>
      <c r="F89" s="38"/>
      <c r="G89" s="38">
        <v>223</v>
      </c>
      <c r="H89" s="38">
        <v>1</v>
      </c>
      <c r="I89" s="38"/>
      <c r="J89" s="38">
        <v>2.7</v>
      </c>
      <c r="K89" s="38" t="s">
        <v>302</v>
      </c>
      <c r="L89" s="38"/>
      <c r="M89" s="38">
        <v>15</v>
      </c>
      <c r="N89" s="38"/>
      <c r="O89" s="38">
        <v>2.1</v>
      </c>
      <c r="P89" s="38">
        <v>64</v>
      </c>
      <c r="Q89" s="38">
        <v>0.7</v>
      </c>
      <c r="R89" s="38">
        <f ca="1">YEAR(NOW())-1939</f>
        <v>67</v>
      </c>
      <c r="S89" s="53" t="s">
        <v>43</v>
      </c>
      <c r="T89" s="38">
        <v>1</v>
      </c>
      <c r="U89" s="38" t="s">
        <v>33</v>
      </c>
      <c r="V89" s="38" t="s">
        <v>34</v>
      </c>
      <c r="Z89" s="63"/>
      <c r="AA89" s="63"/>
      <c r="AB89" s="63"/>
      <c r="AC89" s="32">
        <f t="shared" si="10"/>
        <v>8</v>
      </c>
      <c r="AD89" s="53" t="s">
        <v>309</v>
      </c>
    </row>
    <row r="90" spans="1:30" ht="12.75">
      <c r="A90" s="51" t="s">
        <v>310</v>
      </c>
      <c r="B90" s="23">
        <f t="shared" si="11"/>
        <v>88</v>
      </c>
      <c r="C90" s="23" t="s">
        <v>311</v>
      </c>
      <c r="D90" s="23">
        <v>1413</v>
      </c>
      <c r="E90" s="23">
        <v>973</v>
      </c>
      <c r="F90" s="23">
        <v>5</v>
      </c>
      <c r="G90" s="23">
        <v>226.0254</v>
      </c>
      <c r="H90" s="23">
        <v>2</v>
      </c>
      <c r="I90" s="23"/>
      <c r="J90" s="28">
        <v>2.23</v>
      </c>
      <c r="K90" s="23">
        <v>5.279</v>
      </c>
      <c r="L90" s="23">
        <v>0.094</v>
      </c>
      <c r="M90" s="22">
        <v>18.6</v>
      </c>
      <c r="N90" s="22">
        <v>1</v>
      </c>
      <c r="O90" s="30">
        <v>8.37</v>
      </c>
      <c r="P90" s="23">
        <v>136.82</v>
      </c>
      <c r="Q90" s="23">
        <v>0.9</v>
      </c>
      <c r="R90" s="22">
        <f ca="1">YEAR(NOW())-1898</f>
        <v>108</v>
      </c>
      <c r="S90" s="51" t="s">
        <v>47</v>
      </c>
      <c r="T90" s="22">
        <v>2</v>
      </c>
      <c r="U90" s="22" t="s">
        <v>33</v>
      </c>
      <c r="V90" s="22" t="s">
        <v>34</v>
      </c>
      <c r="Z90" s="56">
        <v>9E-07</v>
      </c>
      <c r="AA90" s="58">
        <v>8.9E-11</v>
      </c>
      <c r="AC90" s="32">
        <f t="shared" si="10"/>
        <v>6</v>
      </c>
      <c r="AD90" s="51" t="s">
        <v>312</v>
      </c>
    </row>
    <row r="91" spans="1:30" ht="12.75">
      <c r="A91" s="51" t="s">
        <v>313</v>
      </c>
      <c r="B91" s="23">
        <f t="shared" si="11"/>
        <v>89</v>
      </c>
      <c r="C91" s="23" t="s">
        <v>314</v>
      </c>
      <c r="D91" s="23">
        <v>3470</v>
      </c>
      <c r="E91" s="23">
        <v>1324</v>
      </c>
      <c r="F91" s="23">
        <v>10.07</v>
      </c>
      <c r="G91" s="23">
        <v>227</v>
      </c>
      <c r="H91" s="23">
        <v>3</v>
      </c>
      <c r="I91" s="23"/>
      <c r="J91" s="28">
        <v>1.88</v>
      </c>
      <c r="K91" s="23">
        <v>5.17</v>
      </c>
      <c r="L91" s="23">
        <v>0.12</v>
      </c>
      <c r="M91" s="22">
        <v>12</v>
      </c>
      <c r="P91" s="23"/>
      <c r="Q91" s="23">
        <v>1.1</v>
      </c>
      <c r="R91" s="22">
        <f ca="1">YEAR(NOW())-1899</f>
        <v>107</v>
      </c>
      <c r="S91" s="51" t="s">
        <v>215</v>
      </c>
      <c r="T91" s="22">
        <v>3</v>
      </c>
      <c r="U91" s="22" t="s">
        <v>106</v>
      </c>
      <c r="V91" s="22" t="s">
        <v>34</v>
      </c>
      <c r="Z91" s="56">
        <v>5.5E-10</v>
      </c>
      <c r="AC91" s="32">
        <f t="shared" si="10"/>
        <v>8</v>
      </c>
      <c r="AD91" s="51" t="s">
        <v>315</v>
      </c>
    </row>
    <row r="92" spans="1:30" ht="12.75">
      <c r="A92" s="51" t="s">
        <v>316</v>
      </c>
      <c r="B92" s="23">
        <f t="shared" si="11"/>
        <v>90</v>
      </c>
      <c r="C92" s="23" t="s">
        <v>317</v>
      </c>
      <c r="D92" s="23">
        <v>5060</v>
      </c>
      <c r="E92" s="23">
        <v>2028</v>
      </c>
      <c r="F92" s="23">
        <v>11.72</v>
      </c>
      <c r="G92" s="23">
        <v>232.0381</v>
      </c>
      <c r="H92" s="23">
        <v>4</v>
      </c>
      <c r="I92" s="23">
        <v>1.65</v>
      </c>
      <c r="J92" s="28">
        <v>1.8</v>
      </c>
      <c r="K92" s="23">
        <v>6.01</v>
      </c>
      <c r="L92" s="23">
        <v>0.113</v>
      </c>
      <c r="M92" s="22">
        <v>54</v>
      </c>
      <c r="N92" s="22">
        <v>7.1</v>
      </c>
      <c r="O92" s="30">
        <v>15.65</v>
      </c>
      <c r="P92" s="23">
        <v>543.92</v>
      </c>
      <c r="Q92" s="23">
        <v>1.3</v>
      </c>
      <c r="R92" s="22">
        <f ca="1">YEAR(NOW())-1828</f>
        <v>178</v>
      </c>
      <c r="S92" s="51" t="s">
        <v>215</v>
      </c>
      <c r="T92" s="22">
        <v>3</v>
      </c>
      <c r="U92" s="22" t="s">
        <v>219</v>
      </c>
      <c r="V92" s="22" t="s">
        <v>34</v>
      </c>
      <c r="Z92" s="56">
        <v>9.6</v>
      </c>
      <c r="AA92" s="58">
        <v>1E-06</v>
      </c>
      <c r="AC92" s="32">
        <f t="shared" si="10"/>
        <v>7</v>
      </c>
      <c r="AD92" s="51" t="s">
        <v>318</v>
      </c>
    </row>
    <row r="93" spans="1:30" ht="12.75">
      <c r="A93" s="51" t="s">
        <v>319</v>
      </c>
      <c r="B93" s="23">
        <f t="shared" si="11"/>
        <v>91</v>
      </c>
      <c r="C93" s="23" t="s">
        <v>320</v>
      </c>
      <c r="D93" s="23">
        <v>4300</v>
      </c>
      <c r="E93" s="23">
        <v>1845</v>
      </c>
      <c r="F93" s="23">
        <v>15.4</v>
      </c>
      <c r="G93" s="23">
        <v>231.0359</v>
      </c>
      <c r="H93" s="23">
        <v>5</v>
      </c>
      <c r="I93" s="23"/>
      <c r="J93" s="28">
        <v>1.61</v>
      </c>
      <c r="K93" s="23">
        <v>5.89</v>
      </c>
      <c r="L93" s="23"/>
      <c r="M93" s="22">
        <v>47</v>
      </c>
      <c r="N93" s="22">
        <v>5.6</v>
      </c>
      <c r="P93" s="23"/>
      <c r="Q93" s="23">
        <v>1.5</v>
      </c>
      <c r="R93" s="22">
        <f ca="1">YEAR(NOW())-1913</f>
        <v>93</v>
      </c>
      <c r="S93" s="51" t="s">
        <v>215</v>
      </c>
      <c r="T93" s="22">
        <v>3</v>
      </c>
      <c r="U93" s="22" t="s">
        <v>219</v>
      </c>
      <c r="V93" s="22" t="s">
        <v>34</v>
      </c>
      <c r="W93" s="22">
        <v>4</v>
      </c>
      <c r="Z93" s="56">
        <v>1.4E-06</v>
      </c>
      <c r="AA93" s="58">
        <v>5E-11</v>
      </c>
      <c r="AC93" s="32">
        <f t="shared" si="10"/>
        <v>12</v>
      </c>
      <c r="AD93" s="51" t="s">
        <v>321</v>
      </c>
    </row>
    <row r="94" spans="1:30" ht="12.75">
      <c r="A94" s="51" t="s">
        <v>322</v>
      </c>
      <c r="B94" s="23">
        <f t="shared" si="11"/>
        <v>92</v>
      </c>
      <c r="C94" s="23" t="s">
        <v>323</v>
      </c>
      <c r="D94" s="23">
        <v>4407</v>
      </c>
      <c r="E94" s="23">
        <v>1408</v>
      </c>
      <c r="F94" s="23">
        <v>18.95</v>
      </c>
      <c r="G94" s="23">
        <v>238.029</v>
      </c>
      <c r="H94" s="23">
        <v>6</v>
      </c>
      <c r="I94" s="23">
        <v>1.42</v>
      </c>
      <c r="J94" s="28">
        <v>1.38</v>
      </c>
      <c r="K94" s="23">
        <v>6.05</v>
      </c>
      <c r="L94" s="23">
        <v>0.12</v>
      </c>
      <c r="M94" s="22">
        <v>27.6</v>
      </c>
      <c r="N94" s="22">
        <v>3.6</v>
      </c>
      <c r="O94" s="30">
        <v>15.48</v>
      </c>
      <c r="P94" s="23">
        <v>422.58</v>
      </c>
      <c r="Q94" s="23">
        <v>1.38</v>
      </c>
      <c r="R94" s="22">
        <f ca="1">YEAR(NOW())-1789</f>
        <v>217</v>
      </c>
      <c r="S94" s="51" t="s">
        <v>215</v>
      </c>
      <c r="T94" s="22">
        <v>3</v>
      </c>
      <c r="U94" s="22" t="s">
        <v>219</v>
      </c>
      <c r="V94" s="22" t="s">
        <v>34</v>
      </c>
      <c r="W94" s="22">
        <v>5</v>
      </c>
      <c r="X94" s="22">
        <v>4</v>
      </c>
      <c r="Y94" s="22">
        <v>3</v>
      </c>
      <c r="Z94" s="56">
        <v>2.7</v>
      </c>
      <c r="AA94" s="58">
        <v>0.0032</v>
      </c>
      <c r="AB94" s="58">
        <v>1E-07</v>
      </c>
      <c r="AC94" s="32">
        <f t="shared" si="10"/>
        <v>7</v>
      </c>
      <c r="AD94" s="51" t="s">
        <v>324</v>
      </c>
    </row>
    <row r="95" spans="1:30" ht="12.75">
      <c r="A95" s="51" t="s">
        <v>325</v>
      </c>
      <c r="B95" s="23">
        <f t="shared" si="11"/>
        <v>93</v>
      </c>
      <c r="C95" s="23" t="s">
        <v>326</v>
      </c>
      <c r="D95" s="23">
        <v>4175</v>
      </c>
      <c r="E95" s="23">
        <v>912</v>
      </c>
      <c r="F95" s="23">
        <v>20.2</v>
      </c>
      <c r="G95" s="23">
        <v>237.0482</v>
      </c>
      <c r="H95" s="23">
        <v>5</v>
      </c>
      <c r="I95" s="23"/>
      <c r="J95" s="28">
        <v>1.3</v>
      </c>
      <c r="K95" s="23">
        <v>6.19</v>
      </c>
      <c r="L95" s="23"/>
      <c r="M95" s="22">
        <v>6.3</v>
      </c>
      <c r="N95" s="22">
        <v>0.8</v>
      </c>
      <c r="P95" s="23"/>
      <c r="Q95" s="23">
        <v>1.36</v>
      </c>
      <c r="R95" s="22">
        <f ca="1">YEAR(NOW())-1940</f>
        <v>66</v>
      </c>
      <c r="S95" s="51" t="s">
        <v>215</v>
      </c>
      <c r="T95" s="22">
        <v>3</v>
      </c>
      <c r="U95" s="22" t="s">
        <v>219</v>
      </c>
      <c r="V95" s="22" t="s">
        <v>34</v>
      </c>
      <c r="W95" s="22">
        <v>6</v>
      </c>
      <c r="X95" s="22">
        <v>4</v>
      </c>
      <c r="Y95" s="22">
        <v>3</v>
      </c>
      <c r="AC95" s="32">
        <f t="shared" si="10"/>
        <v>9</v>
      </c>
      <c r="AD95" s="51" t="s">
        <v>327</v>
      </c>
    </row>
    <row r="96" spans="1:30" ht="12.75">
      <c r="A96" s="51" t="s">
        <v>328</v>
      </c>
      <c r="B96" s="23">
        <f t="shared" si="11"/>
        <v>94</v>
      </c>
      <c r="C96" s="23" t="s">
        <v>329</v>
      </c>
      <c r="D96" s="23">
        <v>3505</v>
      </c>
      <c r="E96" s="23">
        <v>913</v>
      </c>
      <c r="F96" s="23">
        <v>19.84</v>
      </c>
      <c r="G96" s="23">
        <v>244</v>
      </c>
      <c r="H96" s="23">
        <v>4</v>
      </c>
      <c r="I96" s="23">
        <v>1.08</v>
      </c>
      <c r="J96" s="28">
        <v>1.51</v>
      </c>
      <c r="K96" s="23">
        <v>6.06</v>
      </c>
      <c r="L96" s="23">
        <v>0.13</v>
      </c>
      <c r="M96" s="22">
        <v>6.74</v>
      </c>
      <c r="N96" s="22">
        <v>0.7</v>
      </c>
      <c r="P96" s="23"/>
      <c r="Q96" s="23">
        <v>1.28</v>
      </c>
      <c r="R96" s="22">
        <f ca="1">YEAR(NOW())-1940</f>
        <v>66</v>
      </c>
      <c r="S96" s="51" t="s">
        <v>215</v>
      </c>
      <c r="T96" s="22">
        <v>3</v>
      </c>
      <c r="U96" s="22" t="s">
        <v>219</v>
      </c>
      <c r="V96" s="22" t="s">
        <v>34</v>
      </c>
      <c r="W96" s="22">
        <v>6</v>
      </c>
      <c r="X96" s="22">
        <v>5</v>
      </c>
      <c r="Y96" s="22">
        <v>3</v>
      </c>
      <c r="AC96" s="32">
        <f t="shared" si="10"/>
        <v>9</v>
      </c>
      <c r="AD96" s="51" t="s">
        <v>330</v>
      </c>
    </row>
    <row r="97" spans="1:30" ht="12.75">
      <c r="A97" s="51" t="s">
        <v>331</v>
      </c>
      <c r="B97" s="23">
        <f t="shared" si="11"/>
        <v>95</v>
      </c>
      <c r="C97" s="23" t="s">
        <v>332</v>
      </c>
      <c r="D97" s="23">
        <v>2880</v>
      </c>
      <c r="E97" s="23">
        <v>1449</v>
      </c>
      <c r="F97" s="23">
        <v>13.7</v>
      </c>
      <c r="G97" s="23">
        <v>243</v>
      </c>
      <c r="H97" s="23">
        <v>3</v>
      </c>
      <c r="I97" s="23"/>
      <c r="J97" s="28">
        <v>1.84</v>
      </c>
      <c r="K97" s="23">
        <v>5.993</v>
      </c>
      <c r="L97" s="23"/>
      <c r="M97" s="22">
        <v>10</v>
      </c>
      <c r="N97" s="22">
        <v>0.7</v>
      </c>
      <c r="P97" s="23"/>
      <c r="Q97" s="23">
        <v>1.3</v>
      </c>
      <c r="R97" s="22">
        <f ca="1">YEAR(NOW())-1944</f>
        <v>62</v>
      </c>
      <c r="S97" s="51" t="s">
        <v>215</v>
      </c>
      <c r="T97" s="22">
        <v>3</v>
      </c>
      <c r="U97" s="22" t="s">
        <v>219</v>
      </c>
      <c r="V97" s="22" t="s">
        <v>34</v>
      </c>
      <c r="W97" s="22">
        <v>6</v>
      </c>
      <c r="X97" s="22">
        <v>5</v>
      </c>
      <c r="Y97" s="22">
        <v>4</v>
      </c>
      <c r="AC97" s="32">
        <f t="shared" si="10"/>
        <v>9</v>
      </c>
      <c r="AD97" s="51" t="s">
        <v>333</v>
      </c>
    </row>
    <row r="98" spans="1:30" ht="12.75">
      <c r="A98" s="51" t="s">
        <v>334</v>
      </c>
      <c r="B98" s="23">
        <f t="shared" si="11"/>
        <v>96</v>
      </c>
      <c r="C98" s="23" t="s">
        <v>335</v>
      </c>
      <c r="D98" s="23"/>
      <c r="E98" s="23">
        <v>1620</v>
      </c>
      <c r="F98" s="23">
        <v>13.5</v>
      </c>
      <c r="G98" s="23">
        <v>247</v>
      </c>
      <c r="H98" s="23">
        <v>3</v>
      </c>
      <c r="I98" s="23"/>
      <c r="J98" s="25"/>
      <c r="K98" s="23">
        <v>6.02</v>
      </c>
      <c r="L98" s="23"/>
      <c r="M98" s="22">
        <v>10</v>
      </c>
      <c r="P98" s="23"/>
      <c r="Q98" s="23">
        <v>1.3</v>
      </c>
      <c r="R98" s="22">
        <f ca="1">YEAR(NOW())-1944</f>
        <v>62</v>
      </c>
      <c r="S98" s="51" t="s">
        <v>215</v>
      </c>
      <c r="T98" s="22">
        <v>3</v>
      </c>
      <c r="U98" s="22" t="s">
        <v>219</v>
      </c>
      <c r="V98" s="22" t="s">
        <v>34</v>
      </c>
      <c r="AC98" s="32">
        <f t="shared" si="10"/>
        <v>6</v>
      </c>
      <c r="AD98" s="51" t="s">
        <v>336</v>
      </c>
    </row>
    <row r="99" spans="1:30" ht="12.75">
      <c r="A99" s="51" t="s">
        <v>337</v>
      </c>
      <c r="B99" s="23">
        <f t="shared" si="11"/>
        <v>97</v>
      </c>
      <c r="C99" s="23" t="s">
        <v>338</v>
      </c>
      <c r="D99" s="23"/>
      <c r="E99" s="23">
        <v>1620</v>
      </c>
      <c r="F99" s="23">
        <v>14</v>
      </c>
      <c r="G99" s="23">
        <v>247</v>
      </c>
      <c r="H99" s="23">
        <v>3</v>
      </c>
      <c r="I99" s="23"/>
      <c r="J99" s="25"/>
      <c r="K99" s="23">
        <v>6.23</v>
      </c>
      <c r="L99" s="23"/>
      <c r="M99" s="22">
        <v>10</v>
      </c>
      <c r="P99" s="23"/>
      <c r="Q99" s="23">
        <v>1.3</v>
      </c>
      <c r="R99" s="22">
        <f ca="1">YEAR(NOW())-1949</f>
        <v>57</v>
      </c>
      <c r="S99" s="51" t="s">
        <v>215</v>
      </c>
      <c r="T99" s="22">
        <v>3</v>
      </c>
      <c r="U99" s="22" t="s">
        <v>219</v>
      </c>
      <c r="V99" s="22" t="s">
        <v>34</v>
      </c>
      <c r="W99" s="22">
        <v>4</v>
      </c>
      <c r="AC99" s="32">
        <f t="shared" si="10"/>
        <v>9</v>
      </c>
      <c r="AD99" s="51" t="s">
        <v>339</v>
      </c>
    </row>
    <row r="100" spans="1:30" ht="12.75">
      <c r="A100" s="51" t="s">
        <v>340</v>
      </c>
      <c r="B100" s="23">
        <f t="shared" si="11"/>
        <v>98</v>
      </c>
      <c r="C100" s="23" t="s">
        <v>341</v>
      </c>
      <c r="D100" s="23"/>
      <c r="E100" s="23">
        <v>1170</v>
      </c>
      <c r="F100" s="23"/>
      <c r="G100" s="23">
        <v>251</v>
      </c>
      <c r="J100" s="25"/>
      <c r="K100" s="23">
        <v>6.3</v>
      </c>
      <c r="L100" s="23"/>
      <c r="M100" s="22">
        <v>10</v>
      </c>
      <c r="P100" s="23"/>
      <c r="Q100" s="23">
        <v>1.3</v>
      </c>
      <c r="R100" s="22">
        <f ca="1">YEAR(NOW())-1950</f>
        <v>56</v>
      </c>
      <c r="S100" s="51" t="s">
        <v>215</v>
      </c>
      <c r="T100" s="22">
        <v>3</v>
      </c>
      <c r="U100" s="22" t="s">
        <v>219</v>
      </c>
      <c r="V100" s="22" t="s">
        <v>34</v>
      </c>
      <c r="AC100" s="32">
        <f aca="true" t="shared" si="12" ref="AC100:AC112">LEN(A100)</f>
        <v>11</v>
      </c>
      <c r="AD100" s="51" t="s">
        <v>342</v>
      </c>
    </row>
    <row r="101" spans="1:30" ht="12.75">
      <c r="A101" s="51" t="s">
        <v>343</v>
      </c>
      <c r="B101" s="23">
        <f aca="true" t="shared" si="13" ref="B101:B111">B100+1</f>
        <v>99</v>
      </c>
      <c r="C101" s="23" t="s">
        <v>344</v>
      </c>
      <c r="D101" s="23"/>
      <c r="E101" s="23">
        <v>1170</v>
      </c>
      <c r="F101" s="23"/>
      <c r="G101" s="23">
        <v>252</v>
      </c>
      <c r="H101" s="22">
        <v>3</v>
      </c>
      <c r="J101" s="25"/>
      <c r="K101" s="23">
        <v>6.42</v>
      </c>
      <c r="L101" s="23"/>
      <c r="M101" s="22">
        <v>10</v>
      </c>
      <c r="P101" s="23"/>
      <c r="Q101" s="23">
        <v>1.3</v>
      </c>
      <c r="R101" s="22">
        <f ca="1">YEAR(NOW())-1952</f>
        <v>54</v>
      </c>
      <c r="S101" s="51" t="s">
        <v>215</v>
      </c>
      <c r="T101" s="22">
        <v>3</v>
      </c>
      <c r="U101" s="22" t="s">
        <v>219</v>
      </c>
      <c r="V101" s="22" t="s">
        <v>34</v>
      </c>
      <c r="AC101" s="32">
        <f t="shared" si="12"/>
        <v>11</v>
      </c>
      <c r="AD101" s="51" t="s">
        <v>345</v>
      </c>
    </row>
    <row r="102" spans="1:30" ht="12.75">
      <c r="A102" s="51" t="s">
        <v>346</v>
      </c>
      <c r="B102" s="23">
        <f t="shared" si="13"/>
        <v>100</v>
      </c>
      <c r="C102" s="23" t="s">
        <v>347</v>
      </c>
      <c r="D102" s="23"/>
      <c r="E102" s="23">
        <v>1130</v>
      </c>
      <c r="F102" s="23"/>
      <c r="G102" s="23">
        <v>257</v>
      </c>
      <c r="H102" s="22">
        <v>3</v>
      </c>
      <c r="J102" s="25"/>
      <c r="K102" s="23">
        <v>6.5</v>
      </c>
      <c r="L102" s="23"/>
      <c r="M102" s="22">
        <v>10</v>
      </c>
      <c r="P102" s="23"/>
      <c r="Q102" s="23">
        <v>1.3</v>
      </c>
      <c r="R102" s="22">
        <f ca="1">YEAR(NOW())-1952</f>
        <v>54</v>
      </c>
      <c r="S102" s="51" t="s">
        <v>215</v>
      </c>
      <c r="T102" s="22">
        <v>3</v>
      </c>
      <c r="U102" s="22" t="s">
        <v>219</v>
      </c>
      <c r="V102" s="22" t="s">
        <v>34</v>
      </c>
      <c r="AC102" s="32">
        <f t="shared" si="12"/>
        <v>7</v>
      </c>
      <c r="AD102" s="51" t="s">
        <v>348</v>
      </c>
    </row>
    <row r="103" spans="1:30" ht="12.75">
      <c r="A103" s="51" t="s">
        <v>349</v>
      </c>
      <c r="B103" s="23">
        <f t="shared" si="13"/>
        <v>101</v>
      </c>
      <c r="C103" s="23" t="s">
        <v>350</v>
      </c>
      <c r="D103" s="23"/>
      <c r="E103" s="23">
        <v>1800</v>
      </c>
      <c r="F103" s="23"/>
      <c r="G103" s="23">
        <v>258</v>
      </c>
      <c r="H103" s="22">
        <v>3</v>
      </c>
      <c r="J103" s="25"/>
      <c r="K103" s="23">
        <v>6.58</v>
      </c>
      <c r="L103" s="23"/>
      <c r="M103" s="22">
        <v>10</v>
      </c>
      <c r="P103" s="23"/>
      <c r="Q103" s="23">
        <v>1.3</v>
      </c>
      <c r="R103" s="22">
        <f ca="1">YEAR(NOW())-1955</f>
        <v>51</v>
      </c>
      <c r="S103" s="51" t="s">
        <v>215</v>
      </c>
      <c r="T103" s="22">
        <v>3</v>
      </c>
      <c r="U103" s="22" t="s">
        <v>219</v>
      </c>
      <c r="V103" s="22" t="s">
        <v>34</v>
      </c>
      <c r="AC103" s="32">
        <f t="shared" si="12"/>
        <v>11</v>
      </c>
      <c r="AD103" s="51" t="s">
        <v>351</v>
      </c>
    </row>
    <row r="104" spans="1:30" ht="12.75">
      <c r="A104" s="51" t="s">
        <v>352</v>
      </c>
      <c r="B104" s="23">
        <f t="shared" si="13"/>
        <v>102</v>
      </c>
      <c r="C104" s="23" t="s">
        <v>353</v>
      </c>
      <c r="D104" s="23"/>
      <c r="E104" s="23">
        <v>1100</v>
      </c>
      <c r="F104" s="23"/>
      <c r="G104" s="23">
        <v>259</v>
      </c>
      <c r="H104" s="22">
        <v>3</v>
      </c>
      <c r="J104" s="25"/>
      <c r="K104" s="23">
        <v>6.65</v>
      </c>
      <c r="L104" s="23"/>
      <c r="M104" s="22">
        <v>10</v>
      </c>
      <c r="P104" s="23"/>
      <c r="Q104" s="23">
        <v>1.3</v>
      </c>
      <c r="R104" s="22">
        <f ca="1">YEAR(NOW())-1958</f>
        <v>48</v>
      </c>
      <c r="S104" s="51" t="s">
        <v>215</v>
      </c>
      <c r="T104" s="22">
        <v>3</v>
      </c>
      <c r="U104" s="22" t="s">
        <v>219</v>
      </c>
      <c r="V104" s="22" t="s">
        <v>34</v>
      </c>
      <c r="W104" s="22">
        <v>2</v>
      </c>
      <c r="AC104" s="32">
        <f t="shared" si="12"/>
        <v>8</v>
      </c>
      <c r="AD104" s="51" t="s">
        <v>354</v>
      </c>
    </row>
    <row r="105" spans="1:30" ht="12.75">
      <c r="A105" s="51" t="s">
        <v>355</v>
      </c>
      <c r="B105" s="23">
        <f t="shared" si="13"/>
        <v>103</v>
      </c>
      <c r="C105" s="23" t="s">
        <v>356</v>
      </c>
      <c r="D105" s="23"/>
      <c r="E105" s="23">
        <v>1900</v>
      </c>
      <c r="F105" s="23"/>
      <c r="G105" s="23">
        <v>260</v>
      </c>
      <c r="H105" s="22">
        <v>3</v>
      </c>
      <c r="J105" s="25"/>
      <c r="K105" s="25"/>
      <c r="L105" s="25"/>
      <c r="M105" s="22">
        <v>10</v>
      </c>
      <c r="P105" s="23"/>
      <c r="Q105" s="25"/>
      <c r="R105" s="22">
        <f ca="1">YEAR(NOW())-1961</f>
        <v>45</v>
      </c>
      <c r="S105" s="51" t="s">
        <v>215</v>
      </c>
      <c r="T105" s="22">
        <v>3</v>
      </c>
      <c r="U105" s="22" t="s">
        <v>106</v>
      </c>
      <c r="V105" s="22" t="s">
        <v>34</v>
      </c>
      <c r="AC105" s="32">
        <f t="shared" si="12"/>
        <v>10</v>
      </c>
      <c r="AD105" s="51" t="s">
        <v>357</v>
      </c>
    </row>
    <row r="106" spans="1:30" ht="12.75">
      <c r="A106" s="51" t="s">
        <v>358</v>
      </c>
      <c r="B106" s="23">
        <f t="shared" si="13"/>
        <v>104</v>
      </c>
      <c r="C106" s="23" t="s">
        <v>359</v>
      </c>
      <c r="D106" s="23"/>
      <c r="E106" s="23"/>
      <c r="F106" s="23"/>
      <c r="G106" s="23">
        <v>261</v>
      </c>
      <c r="J106" s="25"/>
      <c r="K106" s="25"/>
      <c r="L106" s="25"/>
      <c r="P106" s="23"/>
      <c r="Q106" s="25"/>
      <c r="R106" s="22">
        <f ca="1">YEAR(NOW())-1964</f>
        <v>42</v>
      </c>
      <c r="S106" s="51" t="s">
        <v>105</v>
      </c>
      <c r="T106" s="22">
        <v>4</v>
      </c>
      <c r="U106" s="22" t="s">
        <v>106</v>
      </c>
      <c r="V106" s="22" t="s">
        <v>34</v>
      </c>
      <c r="AC106" s="32">
        <f t="shared" si="12"/>
        <v>13</v>
      </c>
      <c r="AD106" s="24" t="s">
        <v>360</v>
      </c>
    </row>
    <row r="107" spans="1:30" ht="12.75">
      <c r="A107" s="51" t="s">
        <v>361</v>
      </c>
      <c r="B107" s="23">
        <f t="shared" si="13"/>
        <v>105</v>
      </c>
      <c r="C107" s="23" t="s">
        <v>362</v>
      </c>
      <c r="D107" s="23"/>
      <c r="E107" s="23"/>
      <c r="F107" s="23"/>
      <c r="G107" s="23">
        <v>262</v>
      </c>
      <c r="J107" s="25"/>
      <c r="K107" s="25"/>
      <c r="L107" s="25"/>
      <c r="P107" s="23"/>
      <c r="Q107" s="25"/>
      <c r="R107" s="22">
        <f ca="1">YEAR(NOW())-1967</f>
        <v>39</v>
      </c>
      <c r="S107" s="51" t="s">
        <v>105</v>
      </c>
      <c r="T107" s="22">
        <v>5</v>
      </c>
      <c r="U107" s="22" t="s">
        <v>106</v>
      </c>
      <c r="V107" s="22" t="s">
        <v>34</v>
      </c>
      <c r="AC107" s="32">
        <f t="shared" si="12"/>
        <v>7</v>
      </c>
      <c r="AD107" s="24" t="s">
        <v>363</v>
      </c>
    </row>
    <row r="108" spans="1:30" ht="12.75">
      <c r="A108" s="51" t="s">
        <v>364</v>
      </c>
      <c r="B108" s="23">
        <f t="shared" si="13"/>
        <v>106</v>
      </c>
      <c r="C108" s="23" t="s">
        <v>365</v>
      </c>
      <c r="D108" s="23"/>
      <c r="E108" s="23"/>
      <c r="F108" s="23"/>
      <c r="G108" s="23">
        <v>263</v>
      </c>
      <c r="J108" s="25"/>
      <c r="K108" s="25"/>
      <c r="L108" s="25"/>
      <c r="P108" s="23"/>
      <c r="Q108" s="25"/>
      <c r="R108" s="22">
        <f ca="1">YEAR(NOW())-1974</f>
        <v>32</v>
      </c>
      <c r="S108" s="51" t="s">
        <v>105</v>
      </c>
      <c r="T108" s="22">
        <v>6</v>
      </c>
      <c r="U108" s="22" t="s">
        <v>106</v>
      </c>
      <c r="V108" s="22" t="s">
        <v>34</v>
      </c>
      <c r="AC108" s="32">
        <f t="shared" si="12"/>
        <v>10</v>
      </c>
      <c r="AD108" s="51"/>
    </row>
    <row r="109" spans="1:30" ht="12.75">
      <c r="A109" s="51" t="s">
        <v>366</v>
      </c>
      <c r="B109" s="23">
        <f t="shared" si="13"/>
        <v>107</v>
      </c>
      <c r="C109" s="22" t="s">
        <v>367</v>
      </c>
      <c r="G109" s="22">
        <v>262</v>
      </c>
      <c r="P109" s="23"/>
      <c r="R109" s="22">
        <f ca="1">YEAR(NOW())-1976</f>
        <v>30</v>
      </c>
      <c r="S109" s="51" t="s">
        <v>105</v>
      </c>
      <c r="T109" s="22">
        <v>7</v>
      </c>
      <c r="U109" s="22" t="s">
        <v>106</v>
      </c>
      <c r="V109" s="22" t="s">
        <v>34</v>
      </c>
      <c r="AC109" s="32">
        <f t="shared" si="12"/>
        <v>7</v>
      </c>
      <c r="AD109" s="51"/>
    </row>
    <row r="110" spans="1:30" ht="12.75">
      <c r="A110" s="51" t="s">
        <v>368</v>
      </c>
      <c r="B110" s="23">
        <f t="shared" si="13"/>
        <v>108</v>
      </c>
      <c r="C110" s="22" t="s">
        <v>369</v>
      </c>
      <c r="G110" s="22">
        <v>265</v>
      </c>
      <c r="P110" s="23"/>
      <c r="S110" s="51" t="s">
        <v>105</v>
      </c>
      <c r="T110" s="22">
        <v>8</v>
      </c>
      <c r="U110" s="22" t="s">
        <v>106</v>
      </c>
      <c r="V110" s="22" t="s">
        <v>34</v>
      </c>
      <c r="AC110" s="32">
        <f t="shared" si="12"/>
        <v>7</v>
      </c>
      <c r="AD110" s="24" t="s">
        <v>370</v>
      </c>
    </row>
    <row r="111" spans="1:30" ht="12.75">
      <c r="A111" s="51" t="s">
        <v>371</v>
      </c>
      <c r="B111" s="23">
        <f t="shared" si="13"/>
        <v>109</v>
      </c>
      <c r="C111" s="22" t="s">
        <v>372</v>
      </c>
      <c r="G111" s="22">
        <v>266</v>
      </c>
      <c r="P111" s="23"/>
      <c r="R111" s="22">
        <f ca="1">YEAR(NOW())-1982</f>
        <v>24</v>
      </c>
      <c r="S111" s="51" t="s">
        <v>105</v>
      </c>
      <c r="T111" s="22">
        <v>9</v>
      </c>
      <c r="U111" s="22" t="s">
        <v>106</v>
      </c>
      <c r="V111" s="22" t="s">
        <v>34</v>
      </c>
      <c r="AC111" s="32">
        <f t="shared" si="12"/>
        <v>10</v>
      </c>
      <c r="AD111" s="24" t="s">
        <v>373</v>
      </c>
    </row>
    <row r="112" spans="1:30" ht="12.75">
      <c r="A112" s="51" t="s">
        <v>374</v>
      </c>
      <c r="B112" s="23">
        <v>110</v>
      </c>
      <c r="C112" s="22" t="s">
        <v>375</v>
      </c>
      <c r="P112" s="23"/>
      <c r="S112" s="51" t="s">
        <v>105</v>
      </c>
      <c r="T112" s="22">
        <v>10</v>
      </c>
      <c r="U112" s="22" t="s">
        <v>106</v>
      </c>
      <c r="V112" s="22" t="s">
        <v>34</v>
      </c>
      <c r="AC112" s="32">
        <f t="shared" si="12"/>
        <v>10</v>
      </c>
      <c r="AD112" s="51"/>
    </row>
    <row r="113" spans="2:16" ht="12.75">
      <c r="B113" s="23"/>
      <c r="P113" s="23"/>
    </row>
    <row r="114" spans="2:16" ht="12.75">
      <c r="B114" s="23"/>
      <c r="P114" s="23"/>
    </row>
    <row r="115" spans="2:16" ht="12.75">
      <c r="B115" s="23"/>
      <c r="P115" s="23"/>
    </row>
    <row r="116" spans="2:16" ht="12.75">
      <c r="B116" s="23"/>
      <c r="P116" s="23"/>
    </row>
    <row r="117" spans="2:16" ht="12.75">
      <c r="B117" s="23"/>
      <c r="P117" s="23"/>
    </row>
    <row r="118" spans="2:16" ht="12.75">
      <c r="B118" s="23"/>
      <c r="P118" s="23"/>
    </row>
    <row r="119" spans="2:16" ht="12.75">
      <c r="B119" s="23"/>
      <c r="P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</sheetData>
  <printOptions gridLines="1"/>
  <pageMargins left="0.38" right="0.38" top="0.5" bottom="0.28" header="0.5" footer="0.28"/>
  <pageSetup horizontalDpi="120" verticalDpi="1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20" sqref="A2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showGridLines="0" zoomScale="60" zoomScaleNormal="60" workbookViewId="0" topLeftCell="A1">
      <selection activeCell="A9" sqref="A9"/>
    </sheetView>
  </sheetViews>
  <sheetFormatPr defaultColWidth="8.88671875" defaultRowHeight="15.75"/>
  <cols>
    <col min="1" max="1" width="2.21484375" style="0" customWidth="1"/>
    <col min="2" max="2" width="17.21484375" style="3" customWidth="1"/>
    <col min="3" max="3" width="19.6640625" style="0" customWidth="1"/>
    <col min="4" max="4" width="15.88671875" style="0" customWidth="1"/>
    <col min="5" max="5" width="2.4453125" style="0" customWidth="1"/>
  </cols>
  <sheetData>
    <row r="1" spans="2:7" ht="23.25">
      <c r="B1" s="27" t="s">
        <v>376</v>
      </c>
      <c r="C1" s="6"/>
      <c r="D1" s="6"/>
      <c r="E1" s="1"/>
      <c r="F1" s="1"/>
      <c r="G1" s="1"/>
    </row>
    <row r="2" spans="2:7" s="3" customFormat="1" ht="32.25" thickBot="1">
      <c r="B2" s="4" t="s">
        <v>377</v>
      </c>
      <c r="C2" s="5" t="s">
        <v>378</v>
      </c>
      <c r="D2" s="5" t="s">
        <v>379</v>
      </c>
      <c r="E2" s="2"/>
      <c r="F2" s="2"/>
      <c r="G2" s="2"/>
    </row>
    <row r="3" spans="2:7" s="3" customFormat="1" ht="31.5" customHeight="1">
      <c r="B3" s="9" t="s">
        <v>380</v>
      </c>
      <c r="C3" s="10" t="s">
        <v>381</v>
      </c>
      <c r="D3" s="11" t="s">
        <v>382</v>
      </c>
      <c r="E3" s="2"/>
      <c r="F3" s="2"/>
      <c r="G3" s="2"/>
    </row>
    <row r="4" spans="2:7" s="3" customFormat="1" ht="31.5" customHeight="1">
      <c r="B4" s="12" t="s">
        <v>383</v>
      </c>
      <c r="C4" s="8" t="s">
        <v>202</v>
      </c>
      <c r="D4" s="13" t="s">
        <v>202</v>
      </c>
      <c r="E4" s="2"/>
      <c r="F4" s="2"/>
      <c r="G4" s="2"/>
    </row>
    <row r="5" spans="2:7" s="3" customFormat="1" ht="31.5" customHeight="1">
      <c r="B5" s="12" t="s">
        <v>384</v>
      </c>
      <c r="C5" s="8" t="s">
        <v>385</v>
      </c>
      <c r="D5" s="13" t="s">
        <v>202</v>
      </c>
      <c r="E5" s="2"/>
      <c r="F5" s="2"/>
      <c r="G5" s="2"/>
    </row>
    <row r="6" spans="2:7" s="3" customFormat="1" ht="31.5" customHeight="1">
      <c r="B6" s="12" t="s">
        <v>386</v>
      </c>
      <c r="C6" s="8" t="s">
        <v>387</v>
      </c>
      <c r="D6" s="13" t="s">
        <v>388</v>
      </c>
      <c r="E6" s="2"/>
      <c r="F6" s="2"/>
      <c r="G6" s="2"/>
    </row>
    <row r="7" spans="2:7" s="3" customFormat="1" ht="31.5" customHeight="1">
      <c r="B7" s="12" t="s">
        <v>389</v>
      </c>
      <c r="C7" s="8" t="s">
        <v>390</v>
      </c>
      <c r="D7" s="13" t="s">
        <v>391</v>
      </c>
      <c r="E7" s="2"/>
      <c r="F7" s="2"/>
      <c r="G7" s="2"/>
    </row>
    <row r="8" spans="2:7" s="3" customFormat="1" ht="31.5" customHeight="1">
      <c r="B8" s="14" t="s">
        <v>392</v>
      </c>
      <c r="C8" s="7" t="s">
        <v>393</v>
      </c>
      <c r="D8" s="13" t="s">
        <v>202</v>
      </c>
      <c r="E8" s="2"/>
      <c r="F8" s="2"/>
      <c r="G8" s="2"/>
    </row>
    <row r="9" spans="2:7" s="3" customFormat="1" ht="31.5" customHeight="1">
      <c r="B9" s="14" t="s">
        <v>394</v>
      </c>
      <c r="C9" s="8" t="s">
        <v>395</v>
      </c>
      <c r="D9" s="13" t="s">
        <v>396</v>
      </c>
      <c r="E9" s="2"/>
      <c r="F9" s="2"/>
      <c r="G9" s="2"/>
    </row>
    <row r="10" spans="2:7" s="3" customFormat="1" ht="31.5" customHeight="1">
      <c r="B10" s="14" t="s">
        <v>397</v>
      </c>
      <c r="C10" s="8" t="s">
        <v>202</v>
      </c>
      <c r="D10" s="13" t="s">
        <v>396</v>
      </c>
      <c r="E10" s="2"/>
      <c r="F10" s="2"/>
      <c r="G10" s="2"/>
    </row>
    <row r="11" spans="2:7" s="3" customFormat="1" ht="31.5" customHeight="1">
      <c r="B11" s="14" t="s">
        <v>398</v>
      </c>
      <c r="C11" s="8" t="s">
        <v>396</v>
      </c>
      <c r="D11" s="13" t="s">
        <v>202</v>
      </c>
      <c r="E11" s="2"/>
      <c r="F11" s="2"/>
      <c r="G11" s="2"/>
    </row>
    <row r="12" spans="2:7" s="3" customFormat="1" ht="31.5" customHeight="1">
      <c r="B12" s="14" t="s">
        <v>399</v>
      </c>
      <c r="C12" s="8" t="s">
        <v>202</v>
      </c>
      <c r="D12" s="13" t="s">
        <v>396</v>
      </c>
      <c r="E12" s="2"/>
      <c r="F12" s="2"/>
      <c r="G12" s="2"/>
    </row>
    <row r="13" spans="2:7" s="3" customFormat="1" ht="31.5" customHeight="1">
      <c r="B13" s="14" t="s">
        <v>400</v>
      </c>
      <c r="C13" s="8" t="s">
        <v>202</v>
      </c>
      <c r="D13" s="13" t="s">
        <v>202</v>
      </c>
      <c r="E13" s="2"/>
      <c r="F13" s="2"/>
      <c r="G13" s="2"/>
    </row>
    <row r="14" spans="2:7" s="3" customFormat="1" ht="31.5" customHeight="1">
      <c r="B14" s="14" t="s">
        <v>401</v>
      </c>
      <c r="C14" s="8" t="s">
        <v>396</v>
      </c>
      <c r="D14" s="13" t="s">
        <v>202</v>
      </c>
      <c r="E14" s="2"/>
      <c r="F14" s="2"/>
      <c r="G14" s="2"/>
    </row>
    <row r="15" spans="2:7" s="3" customFormat="1" ht="31.5" customHeight="1">
      <c r="B15" s="14" t="s">
        <v>402</v>
      </c>
      <c r="C15" s="8" t="s">
        <v>396</v>
      </c>
      <c r="D15" s="13" t="s">
        <v>202</v>
      </c>
      <c r="E15" s="2"/>
      <c r="F15" s="2"/>
      <c r="G15" s="2"/>
    </row>
    <row r="16" spans="2:7" s="3" customFormat="1" ht="31.5" customHeight="1">
      <c r="B16" s="12" t="s">
        <v>403</v>
      </c>
      <c r="C16" s="8" t="s">
        <v>202</v>
      </c>
      <c r="D16" s="13" t="s">
        <v>396</v>
      </c>
      <c r="E16" s="2"/>
      <c r="F16" s="2"/>
      <c r="G16" s="2"/>
    </row>
    <row r="17" spans="2:7" s="3" customFormat="1" ht="31.5" customHeight="1" thickBot="1">
      <c r="B17" s="15" t="s">
        <v>404</v>
      </c>
      <c r="C17" s="16" t="s">
        <v>202</v>
      </c>
      <c r="D17" s="17" t="s">
        <v>202</v>
      </c>
      <c r="E17" s="2"/>
      <c r="F17" s="2"/>
      <c r="G17" s="2"/>
    </row>
    <row r="18" spans="2:7" s="3" customFormat="1" ht="15.75">
      <c r="B18" s="2"/>
      <c r="C18" s="2"/>
      <c r="D18" s="2"/>
      <c r="E18" s="2"/>
      <c r="F18" s="2"/>
      <c r="G18" s="2"/>
    </row>
    <row r="19" spans="2:7" s="3" customFormat="1" ht="15.75">
      <c r="B19" s="18" t="s">
        <v>405</v>
      </c>
      <c r="C19" s="2"/>
      <c r="D19" s="2"/>
      <c r="E19" s="2"/>
      <c r="F19" s="2"/>
      <c r="G19" s="2"/>
    </row>
    <row r="20" spans="2:7" ht="15.75">
      <c r="B20" s="2"/>
      <c r="C20" s="1"/>
      <c r="D20" s="1"/>
      <c r="E20" s="1"/>
      <c r="F20" s="1"/>
      <c r="G20" s="1"/>
    </row>
    <row r="21" spans="2:7" ht="15.75">
      <c r="B21" s="2"/>
      <c r="C21" s="1"/>
      <c r="D21" s="1"/>
      <c r="E21" s="1"/>
      <c r="F21" s="1"/>
      <c r="G21" s="1"/>
    </row>
    <row r="22" spans="2:7" ht="15.75">
      <c r="B22" s="2"/>
      <c r="C22" s="1"/>
      <c r="D22" s="1"/>
      <c r="E22" s="1"/>
      <c r="F22" s="1"/>
      <c r="G22" s="1"/>
    </row>
  </sheetData>
  <printOptions horizontalCentered="1"/>
  <pageMargins left="0.75" right="0.75" top="1" bottom="1" header="0.5" footer="0.5"/>
  <pageSetup horizontalDpi="120" verticalDpi="1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1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2.3359375" style="42" customWidth="1"/>
    <col min="2" max="2" width="3.6640625" style="49" customWidth="1"/>
    <col min="3" max="20" width="4.99609375" style="42" customWidth="1"/>
    <col min="21" max="16384" width="3.21484375" style="42" customWidth="1"/>
  </cols>
  <sheetData>
    <row r="2" spans="2:20" ht="33" customHeight="1">
      <c r="B2" s="43">
        <v>1</v>
      </c>
      <c r="C2" s="44" t="s">
        <v>31</v>
      </c>
      <c r="T2" s="44" t="s">
        <v>37</v>
      </c>
    </row>
    <row r="3" spans="2:20" ht="33" customHeight="1" thickBot="1">
      <c r="B3" s="43">
        <v>2</v>
      </c>
      <c r="C3" s="45" t="s">
        <v>42</v>
      </c>
      <c r="D3" s="45" t="s">
        <v>46</v>
      </c>
      <c r="O3" s="46" t="s">
        <v>50</v>
      </c>
      <c r="P3" s="45" t="s">
        <v>55</v>
      </c>
      <c r="Q3" s="44" t="s">
        <v>39</v>
      </c>
      <c r="R3" s="44" t="s">
        <v>63</v>
      </c>
      <c r="S3" s="44" t="s">
        <v>67</v>
      </c>
      <c r="T3" s="44" t="s">
        <v>71</v>
      </c>
    </row>
    <row r="4" spans="2:20" ht="33" customHeight="1" thickBot="1">
      <c r="B4" s="43">
        <v>3</v>
      </c>
      <c r="C4" s="45" t="s">
        <v>74</v>
      </c>
      <c r="D4" s="45" t="s">
        <v>77</v>
      </c>
      <c r="O4" s="45" t="s">
        <v>80</v>
      </c>
      <c r="P4" s="46" t="s">
        <v>83</v>
      </c>
      <c r="Q4" s="45" t="s">
        <v>86</v>
      </c>
      <c r="R4" s="45" t="s">
        <v>89</v>
      </c>
      <c r="S4" s="44" t="s">
        <v>92</v>
      </c>
      <c r="T4" s="44" t="s">
        <v>95</v>
      </c>
    </row>
    <row r="5" spans="2:20" ht="33" customHeight="1" thickBot="1">
      <c r="B5" s="43">
        <v>4</v>
      </c>
      <c r="C5" s="45" t="s">
        <v>98</v>
      </c>
      <c r="D5" s="45" t="s">
        <v>101</v>
      </c>
      <c r="E5" s="45" t="s">
        <v>104</v>
      </c>
      <c r="F5" s="45" t="s">
        <v>109</v>
      </c>
      <c r="G5" s="45" t="s">
        <v>112</v>
      </c>
      <c r="H5" s="45" t="s">
        <v>115</v>
      </c>
      <c r="I5" s="45" t="s">
        <v>118</v>
      </c>
      <c r="J5" s="45" t="s">
        <v>121</v>
      </c>
      <c r="K5" s="45" t="s">
        <v>124</v>
      </c>
      <c r="L5" s="45" t="s">
        <v>127</v>
      </c>
      <c r="M5" s="45" t="s">
        <v>130</v>
      </c>
      <c r="N5" s="45" t="s">
        <v>133</v>
      </c>
      <c r="O5" s="45" t="s">
        <v>136</v>
      </c>
      <c r="P5" s="45" t="s">
        <v>139</v>
      </c>
      <c r="Q5" s="46" t="s">
        <v>142</v>
      </c>
      <c r="R5" s="45" t="s">
        <v>145</v>
      </c>
      <c r="S5" s="47" t="s">
        <v>148</v>
      </c>
      <c r="T5" s="44" t="s">
        <v>151</v>
      </c>
    </row>
    <row r="6" spans="2:20" ht="33" customHeight="1" thickBot="1">
      <c r="B6" s="43">
        <v>5</v>
      </c>
      <c r="C6" s="45" t="s">
        <v>154</v>
      </c>
      <c r="D6" s="45" t="s">
        <v>157</v>
      </c>
      <c r="E6" s="45" t="s">
        <v>160</v>
      </c>
      <c r="F6" s="45" t="s">
        <v>163</v>
      </c>
      <c r="G6" s="45" t="s">
        <v>166</v>
      </c>
      <c r="H6" s="45" t="s">
        <v>169</v>
      </c>
      <c r="I6" s="48" t="s">
        <v>172</v>
      </c>
      <c r="J6" s="45" t="s">
        <v>175</v>
      </c>
      <c r="K6" s="45" t="s">
        <v>178</v>
      </c>
      <c r="L6" s="45" t="s">
        <v>181</v>
      </c>
      <c r="M6" s="45" t="s">
        <v>184</v>
      </c>
      <c r="N6" s="45" t="s">
        <v>187</v>
      </c>
      <c r="O6" s="45" t="s">
        <v>190</v>
      </c>
      <c r="P6" s="45" t="s">
        <v>193</v>
      </c>
      <c r="Q6" s="45" t="s">
        <v>196</v>
      </c>
      <c r="R6" s="46" t="s">
        <v>199</v>
      </c>
      <c r="S6" s="45" t="s">
        <v>202</v>
      </c>
      <c r="T6" s="44" t="s">
        <v>205</v>
      </c>
    </row>
    <row r="7" spans="2:20" ht="33" customHeight="1" thickBot="1">
      <c r="B7" s="43">
        <v>6</v>
      </c>
      <c r="C7" s="45" t="s">
        <v>208</v>
      </c>
      <c r="D7" s="45" t="s">
        <v>211</v>
      </c>
      <c r="F7" s="45" t="s">
        <v>262</v>
      </c>
      <c r="G7" s="45" t="s">
        <v>265</v>
      </c>
      <c r="H7" s="45" t="s">
        <v>268</v>
      </c>
      <c r="I7" s="45" t="s">
        <v>271</v>
      </c>
      <c r="J7" s="45" t="s">
        <v>274</v>
      </c>
      <c r="K7" s="45" t="s">
        <v>277</v>
      </c>
      <c r="L7" s="45" t="s">
        <v>280</v>
      </c>
      <c r="M7" s="45" t="s">
        <v>283</v>
      </c>
      <c r="N7" s="47" t="s">
        <v>286</v>
      </c>
      <c r="O7" s="45" t="s">
        <v>289</v>
      </c>
      <c r="P7" s="45" t="s">
        <v>292</v>
      </c>
      <c r="Q7" s="45" t="s">
        <v>295</v>
      </c>
      <c r="R7" s="45" t="s">
        <v>298</v>
      </c>
      <c r="S7" s="46" t="s">
        <v>301</v>
      </c>
      <c r="T7" s="44" t="s">
        <v>305</v>
      </c>
    </row>
    <row r="8" spans="2:12" ht="33" customHeight="1">
      <c r="B8" s="43">
        <v>7</v>
      </c>
      <c r="C8" s="45" t="s">
        <v>308</v>
      </c>
      <c r="D8" s="45" t="s">
        <v>311</v>
      </c>
      <c r="F8" s="48" t="s">
        <v>359</v>
      </c>
      <c r="G8" s="48" t="s">
        <v>362</v>
      </c>
      <c r="H8" s="48" t="s">
        <v>365</v>
      </c>
      <c r="I8" s="48" t="s">
        <v>406</v>
      </c>
      <c r="J8" s="48" t="s">
        <v>367</v>
      </c>
      <c r="K8" s="48" t="s">
        <v>372</v>
      </c>
      <c r="L8" s="48" t="s">
        <v>375</v>
      </c>
    </row>
    <row r="9" ht="33" customHeight="1"/>
    <row r="10" spans="5:20" ht="33" customHeight="1">
      <c r="E10" s="50" t="s">
        <v>407</v>
      </c>
      <c r="F10" s="45" t="s">
        <v>214</v>
      </c>
      <c r="G10" s="45" t="s">
        <v>218</v>
      </c>
      <c r="H10" s="45" t="s">
        <v>222</v>
      </c>
      <c r="I10" s="45" t="s">
        <v>225</v>
      </c>
      <c r="J10" s="48" t="s">
        <v>228</v>
      </c>
      <c r="K10" s="45" t="s">
        <v>231</v>
      </c>
      <c r="L10" s="45" t="s">
        <v>235</v>
      </c>
      <c r="M10" s="45" t="s">
        <v>238</v>
      </c>
      <c r="N10" s="45" t="s">
        <v>241</v>
      </c>
      <c r="O10" s="45" t="s">
        <v>244</v>
      </c>
      <c r="P10" s="45" t="s">
        <v>247</v>
      </c>
      <c r="Q10" s="45" t="s">
        <v>250</v>
      </c>
      <c r="R10" s="45" t="s">
        <v>253</v>
      </c>
      <c r="S10" s="45" t="s">
        <v>256</v>
      </c>
      <c r="T10" s="45" t="s">
        <v>259</v>
      </c>
    </row>
    <row r="11" spans="5:20" ht="33" customHeight="1">
      <c r="E11" s="50" t="s">
        <v>408</v>
      </c>
      <c r="F11" s="45" t="s">
        <v>314</v>
      </c>
      <c r="G11" s="45" t="s">
        <v>317</v>
      </c>
      <c r="H11" s="45" t="s">
        <v>320</v>
      </c>
      <c r="I11" s="45" t="s">
        <v>323</v>
      </c>
      <c r="J11" s="48" t="s">
        <v>326</v>
      </c>
      <c r="K11" s="48" t="s">
        <v>329</v>
      </c>
      <c r="L11" s="48" t="s">
        <v>332</v>
      </c>
      <c r="M11" s="48" t="s">
        <v>335</v>
      </c>
      <c r="N11" s="48" t="s">
        <v>338</v>
      </c>
      <c r="O11" s="48" t="s">
        <v>341</v>
      </c>
      <c r="P11" s="48" t="s">
        <v>344</v>
      </c>
      <c r="Q11" s="48" t="s">
        <v>347</v>
      </c>
      <c r="R11" s="48" t="s">
        <v>350</v>
      </c>
      <c r="S11" s="48" t="s">
        <v>353</v>
      </c>
      <c r="T11" s="48" t="s">
        <v>356</v>
      </c>
    </row>
  </sheetData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08" zoomScaleNormal="10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" sqref="R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trends</dc:title>
  <dc:subject/>
  <dc:creator>Kevin Zahm</dc:creator>
  <cp:keywords/>
  <dc:description/>
  <cp:lastModifiedBy>courtna</cp:lastModifiedBy>
  <dcterms:created xsi:type="dcterms:W3CDTF">2006-03-17T19:22:49Z</dcterms:created>
  <dcterms:modified xsi:type="dcterms:W3CDTF">2006-03-31T23:46:40Z</dcterms:modified>
  <cp:category/>
  <cp:version/>
  <cp:contentType/>
  <cp:contentStatus/>
</cp:coreProperties>
</file>