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ccounts Payable\Travel Rates &amp; Policies &amp; Forms\CY2023\Final Upload Doc\"/>
    </mc:Choice>
  </mc:AlternateContent>
  <xr:revisionPtr revIDLastSave="0" documentId="13_ncr:1_{A2327330-7B59-435B-98FD-7EA129D5E619}" xr6:coauthVersionLast="47" xr6:coauthVersionMax="47" xr10:uidLastSave="{00000000-0000-0000-0000-000000000000}"/>
  <bookViews>
    <workbookView xWindow="-28920" yWindow="-120" windowWidth="29040" windowHeight="15840" xr2:uid="{4FF76B06-81B0-471D-B736-C20856B59EBD}"/>
  </bookViews>
  <sheets>
    <sheet name="Data input" sheetId="1" r:id="rId1"/>
    <sheet name="original" sheetId="3" r:id="rId2"/>
    <sheet name="adding car pick up mileag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s="1"/>
  <c r="E21" i="1"/>
  <c r="D21" i="1"/>
  <c r="H70" i="1"/>
  <c r="H67" i="1"/>
  <c r="J45" i="1"/>
  <c r="J44" i="1"/>
  <c r="K41" i="1"/>
  <c r="K43" i="1" s="1"/>
  <c r="K44" i="1" s="1"/>
  <c r="J41" i="1"/>
  <c r="I41" i="1"/>
  <c r="I43" i="1" s="1"/>
  <c r="I44" i="1" s="1"/>
  <c r="H41" i="1"/>
  <c r="H43" i="1" s="1"/>
  <c r="H44" i="1" s="1"/>
  <c r="G41" i="1"/>
  <c r="G43" i="1" s="1"/>
  <c r="G44" i="1" s="1"/>
  <c r="F41" i="1"/>
  <c r="F43" i="1" s="1"/>
  <c r="F44" i="1" s="1"/>
  <c r="E41" i="1"/>
  <c r="E43" i="1" s="1"/>
  <c r="E44" i="1" s="1"/>
  <c r="D41" i="1"/>
  <c r="D43" i="1" s="1"/>
  <c r="D44" i="1" s="1"/>
  <c r="K40" i="1"/>
  <c r="I40" i="1"/>
  <c r="H40" i="1"/>
  <c r="G40" i="1"/>
  <c r="F40" i="1"/>
  <c r="E40" i="1"/>
  <c r="D40" i="1"/>
  <c r="G30" i="1"/>
  <c r="G31" i="1" s="1"/>
  <c r="K29" i="1"/>
  <c r="K30" i="1" s="1"/>
  <c r="K31" i="1" s="1"/>
  <c r="J29" i="1"/>
  <c r="I29" i="1"/>
  <c r="H29" i="1"/>
  <c r="E29" i="1"/>
  <c r="D29" i="1"/>
  <c r="K28" i="1"/>
  <c r="J28" i="1"/>
  <c r="I28" i="1"/>
  <c r="I30" i="1" s="1"/>
  <c r="I31" i="1" s="1"/>
  <c r="H28" i="1"/>
  <c r="G28" i="1"/>
  <c r="F28" i="1"/>
  <c r="F30" i="1" s="1"/>
  <c r="F31" i="1" s="1"/>
  <c r="E28" i="1"/>
  <c r="E30" i="1" s="1"/>
  <c r="E31" i="1" s="1"/>
  <c r="D28" i="1"/>
  <c r="T27" i="1"/>
  <c r="F34" i="1" s="1"/>
  <c r="K27" i="1"/>
  <c r="I27" i="1"/>
  <c r="H27" i="1"/>
  <c r="G27" i="1"/>
  <c r="F27" i="1"/>
  <c r="E27" i="1"/>
  <c r="D27" i="1"/>
  <c r="G17" i="1"/>
  <c r="G18" i="1" s="1"/>
  <c r="F16" i="1"/>
  <c r="K15" i="1"/>
  <c r="K17" i="1" s="1"/>
  <c r="K18" i="1" s="1"/>
  <c r="J15" i="1"/>
  <c r="J17" i="1" s="1"/>
  <c r="J18" i="1" s="1"/>
  <c r="I15" i="1"/>
  <c r="I17" i="1" s="1"/>
  <c r="I18" i="1" s="1"/>
  <c r="H15" i="1"/>
  <c r="H17" i="1" s="1"/>
  <c r="H18" i="1" s="1"/>
  <c r="G15" i="1"/>
  <c r="F15" i="1"/>
  <c r="E15" i="1"/>
  <c r="E17" i="1" s="1"/>
  <c r="E18" i="1" s="1"/>
  <c r="D15" i="1"/>
  <c r="D17" i="1" s="1"/>
  <c r="D18" i="1" s="1"/>
  <c r="K14" i="1"/>
  <c r="J14" i="1"/>
  <c r="J20" i="1" s="1"/>
  <c r="J19" i="1" s="1"/>
  <c r="I14" i="1"/>
  <c r="H14" i="1"/>
  <c r="G14" i="1"/>
  <c r="F14" i="1"/>
  <c r="E14" i="1"/>
  <c r="D14" i="1"/>
  <c r="U4" i="1"/>
  <c r="U5" i="1" s="1"/>
  <c r="H102" i="3"/>
  <c r="H99" i="3"/>
  <c r="K73" i="3"/>
  <c r="J73" i="3"/>
  <c r="I73" i="3"/>
  <c r="H73" i="3"/>
  <c r="G73" i="3"/>
  <c r="E73" i="3"/>
  <c r="D73" i="3"/>
  <c r="J42" i="3"/>
  <c r="J41" i="3"/>
  <c r="K40" i="3"/>
  <c r="K41" i="3" s="1"/>
  <c r="K43" i="3" s="1"/>
  <c r="K42" i="3" s="1"/>
  <c r="K38" i="3"/>
  <c r="J38" i="3"/>
  <c r="I38" i="3"/>
  <c r="I40" i="3" s="1"/>
  <c r="I41" i="3" s="1"/>
  <c r="I43" i="3" s="1"/>
  <c r="I42" i="3" s="1"/>
  <c r="H38" i="3"/>
  <c r="H40" i="3" s="1"/>
  <c r="H41" i="3" s="1"/>
  <c r="G38" i="3"/>
  <c r="G40" i="3" s="1"/>
  <c r="G41" i="3" s="1"/>
  <c r="F38" i="3"/>
  <c r="F40" i="3" s="1"/>
  <c r="F41" i="3" s="1"/>
  <c r="E38" i="3"/>
  <c r="E40" i="3" s="1"/>
  <c r="E41" i="3" s="1"/>
  <c r="E43" i="3" s="1"/>
  <c r="E42" i="3" s="1"/>
  <c r="D38" i="3"/>
  <c r="D40" i="3" s="1"/>
  <c r="D41" i="3" s="1"/>
  <c r="K37" i="3"/>
  <c r="I37" i="3"/>
  <c r="H37" i="3"/>
  <c r="G37" i="3"/>
  <c r="G43" i="3" s="1"/>
  <c r="G42" i="3" s="1"/>
  <c r="F37" i="3"/>
  <c r="E37" i="3"/>
  <c r="D37" i="3"/>
  <c r="G28" i="3"/>
  <c r="G29" i="3" s="1"/>
  <c r="G31" i="3" s="1"/>
  <c r="G30" i="3" s="1"/>
  <c r="K27" i="3"/>
  <c r="K28" i="3" s="1"/>
  <c r="K29" i="3" s="1"/>
  <c r="J27" i="3"/>
  <c r="I27" i="3"/>
  <c r="H27" i="3"/>
  <c r="H28" i="3" s="1"/>
  <c r="H29" i="3" s="1"/>
  <c r="E27" i="3"/>
  <c r="D27" i="3"/>
  <c r="K26" i="3"/>
  <c r="J26" i="3"/>
  <c r="J28" i="3" s="1"/>
  <c r="J29" i="3" s="1"/>
  <c r="J31" i="3" s="1"/>
  <c r="J30" i="3" s="1"/>
  <c r="I26" i="3"/>
  <c r="I28" i="3" s="1"/>
  <c r="I29" i="3" s="1"/>
  <c r="H26" i="3"/>
  <c r="G26" i="3"/>
  <c r="F26" i="3"/>
  <c r="F28" i="3" s="1"/>
  <c r="F29" i="3" s="1"/>
  <c r="E26" i="3"/>
  <c r="E28" i="3" s="1"/>
  <c r="E29" i="3" s="1"/>
  <c r="D26" i="3"/>
  <c r="D28" i="3" s="1"/>
  <c r="D29" i="3" s="1"/>
  <c r="K25" i="3"/>
  <c r="K31" i="3" s="1"/>
  <c r="K30" i="3" s="1"/>
  <c r="I25" i="3"/>
  <c r="I31" i="3" s="1"/>
  <c r="I30" i="3" s="1"/>
  <c r="H25" i="3"/>
  <c r="G25" i="3"/>
  <c r="F25" i="3"/>
  <c r="E25" i="3"/>
  <c r="E31" i="3" s="1"/>
  <c r="E30" i="3" s="1"/>
  <c r="D25" i="3"/>
  <c r="H17" i="3"/>
  <c r="H18" i="3" s="1"/>
  <c r="D17" i="3"/>
  <c r="D18" i="3" s="1"/>
  <c r="D20" i="3" s="1"/>
  <c r="D19" i="3" s="1"/>
  <c r="F16" i="3"/>
  <c r="K15" i="3"/>
  <c r="K17" i="3" s="1"/>
  <c r="K18" i="3" s="1"/>
  <c r="J15" i="3"/>
  <c r="J17" i="3" s="1"/>
  <c r="J18" i="3" s="1"/>
  <c r="I15" i="3"/>
  <c r="I17" i="3" s="1"/>
  <c r="I18" i="3" s="1"/>
  <c r="H15" i="3"/>
  <c r="G15" i="3"/>
  <c r="G17" i="3" s="1"/>
  <c r="G18" i="3" s="1"/>
  <c r="F15" i="3"/>
  <c r="F17" i="3" s="1"/>
  <c r="F18" i="3" s="1"/>
  <c r="E15" i="3"/>
  <c r="E17" i="3" s="1"/>
  <c r="E18" i="3" s="1"/>
  <c r="D15" i="3"/>
  <c r="K14" i="3"/>
  <c r="K20" i="3" s="1"/>
  <c r="K19" i="3" s="1"/>
  <c r="J14" i="3"/>
  <c r="J20" i="3" s="1"/>
  <c r="J19" i="3" s="1"/>
  <c r="I14" i="3"/>
  <c r="H14" i="3"/>
  <c r="H20" i="3" s="1"/>
  <c r="H19" i="3" s="1"/>
  <c r="G14" i="3"/>
  <c r="G20" i="3" s="1"/>
  <c r="G19" i="3" s="1"/>
  <c r="F14" i="3"/>
  <c r="F20" i="3" s="1"/>
  <c r="F19" i="3" s="1"/>
  <c r="E14" i="3"/>
  <c r="D14" i="3"/>
  <c r="U4" i="3"/>
  <c r="U5" i="3" s="1"/>
  <c r="G45" i="2"/>
  <c r="F45" i="2"/>
  <c r="E45" i="2"/>
  <c r="D45" i="2"/>
  <c r="D46" i="2" s="1"/>
  <c r="G46" i="2"/>
  <c r="F46" i="2"/>
  <c r="E46" i="2"/>
  <c r="T25" i="2"/>
  <c r="F32" i="2" s="1"/>
  <c r="H105" i="2"/>
  <c r="H102" i="2"/>
  <c r="K76" i="2"/>
  <c r="J76" i="2"/>
  <c r="I76" i="2"/>
  <c r="H76" i="2"/>
  <c r="G76" i="2"/>
  <c r="E76" i="2"/>
  <c r="D76" i="2"/>
  <c r="J43" i="2"/>
  <c r="J42" i="2"/>
  <c r="K39" i="2"/>
  <c r="K41" i="2" s="1"/>
  <c r="K42" i="2" s="1"/>
  <c r="J39" i="2"/>
  <c r="I39" i="2"/>
  <c r="I41" i="2" s="1"/>
  <c r="I42" i="2" s="1"/>
  <c r="H39" i="2"/>
  <c r="H41" i="2" s="1"/>
  <c r="H42" i="2" s="1"/>
  <c r="G39" i="2"/>
  <c r="G41" i="2" s="1"/>
  <c r="G42" i="2" s="1"/>
  <c r="F39" i="2"/>
  <c r="F41" i="2" s="1"/>
  <c r="F42" i="2" s="1"/>
  <c r="E39" i="2"/>
  <c r="E41" i="2" s="1"/>
  <c r="E42" i="2" s="1"/>
  <c r="D39" i="2"/>
  <c r="D41" i="2" s="1"/>
  <c r="D42" i="2" s="1"/>
  <c r="K38" i="2"/>
  <c r="I38" i="2"/>
  <c r="H38" i="2"/>
  <c r="G38" i="2"/>
  <c r="F38" i="2"/>
  <c r="E38" i="2"/>
  <c r="D38" i="2"/>
  <c r="K27" i="2"/>
  <c r="J27" i="2"/>
  <c r="I27" i="2"/>
  <c r="I28" i="2" s="1"/>
  <c r="I29" i="2" s="1"/>
  <c r="I31" i="2" s="1"/>
  <c r="I30" i="2" s="1"/>
  <c r="H27" i="2"/>
  <c r="H28" i="2" s="1"/>
  <c r="H29" i="2" s="1"/>
  <c r="H31" i="2" s="1"/>
  <c r="H30" i="2" s="1"/>
  <c r="E27" i="2"/>
  <c r="D27" i="2"/>
  <c r="K26" i="2"/>
  <c r="J26" i="2"/>
  <c r="I26" i="2"/>
  <c r="H26" i="2"/>
  <c r="G26" i="2"/>
  <c r="G28" i="2" s="1"/>
  <c r="G29" i="2" s="1"/>
  <c r="G31" i="2" s="1"/>
  <c r="G30" i="2" s="1"/>
  <c r="F26" i="2"/>
  <c r="F28" i="2" s="1"/>
  <c r="F29" i="2" s="1"/>
  <c r="E26" i="2"/>
  <c r="E28" i="2" s="1"/>
  <c r="E29" i="2" s="1"/>
  <c r="D26" i="2"/>
  <c r="D28" i="2" s="1"/>
  <c r="D29" i="2" s="1"/>
  <c r="K25" i="2"/>
  <c r="I25" i="2"/>
  <c r="H25" i="2"/>
  <c r="G25" i="2"/>
  <c r="F25" i="2"/>
  <c r="E25" i="2"/>
  <c r="D25" i="2"/>
  <c r="F16" i="2"/>
  <c r="K15" i="2"/>
  <c r="K17" i="2" s="1"/>
  <c r="K18" i="2" s="1"/>
  <c r="J15" i="2"/>
  <c r="J17" i="2" s="1"/>
  <c r="J18" i="2" s="1"/>
  <c r="I15" i="2"/>
  <c r="I17" i="2" s="1"/>
  <c r="I18" i="2" s="1"/>
  <c r="H15" i="2"/>
  <c r="H17" i="2" s="1"/>
  <c r="H18" i="2" s="1"/>
  <c r="G15" i="2"/>
  <c r="G17" i="2" s="1"/>
  <c r="G18" i="2" s="1"/>
  <c r="F15" i="2"/>
  <c r="F17" i="2" s="1"/>
  <c r="F18" i="2" s="1"/>
  <c r="E15" i="2"/>
  <c r="E17" i="2" s="1"/>
  <c r="E18" i="2" s="1"/>
  <c r="D15" i="2"/>
  <c r="D17" i="2" s="1"/>
  <c r="D18" i="2" s="1"/>
  <c r="K14" i="2"/>
  <c r="K20" i="2" s="1"/>
  <c r="K19" i="2" s="1"/>
  <c r="J14" i="2"/>
  <c r="J20" i="2" s="1"/>
  <c r="J19" i="2" s="1"/>
  <c r="I14" i="2"/>
  <c r="H14" i="2"/>
  <c r="G14" i="2"/>
  <c r="F14" i="2"/>
  <c r="E14" i="2"/>
  <c r="D14" i="2"/>
  <c r="U4" i="2"/>
  <c r="U5" i="2" s="1"/>
  <c r="F17" i="1" l="1"/>
  <c r="F18" i="1" s="1"/>
  <c r="H30" i="1"/>
  <c r="H31" i="1" s="1"/>
  <c r="G34" i="1"/>
  <c r="D30" i="1"/>
  <c r="D31" i="1" s="1"/>
  <c r="D33" i="1" s="1"/>
  <c r="D32" i="1" s="1"/>
  <c r="D47" i="1"/>
  <c r="H20" i="1"/>
  <c r="H19" i="1" s="1"/>
  <c r="G33" i="1"/>
  <c r="G32" i="1" s="1"/>
  <c r="D20" i="1"/>
  <c r="D19" i="1" s="1"/>
  <c r="E33" i="1"/>
  <c r="E32" i="1" s="1"/>
  <c r="I33" i="1"/>
  <c r="I32" i="1" s="1"/>
  <c r="G20" i="1"/>
  <c r="G19" i="1" s="1"/>
  <c r="I46" i="1"/>
  <c r="I45" i="1" s="1"/>
  <c r="F33" i="1"/>
  <c r="F32" i="1" s="1"/>
  <c r="D46" i="1"/>
  <c r="D45" i="1" s="1"/>
  <c r="F20" i="1"/>
  <c r="F19" i="1" s="1"/>
  <c r="K46" i="1"/>
  <c r="K45" i="1" s="1"/>
  <c r="J30" i="1"/>
  <c r="J31" i="1" s="1"/>
  <c r="J33" i="1" s="1"/>
  <c r="J32" i="1" s="1"/>
  <c r="E20" i="1"/>
  <c r="E19" i="1" s="1"/>
  <c r="F46" i="1"/>
  <c r="G46" i="1"/>
  <c r="K33" i="1"/>
  <c r="K32" i="1" s="1"/>
  <c r="H46" i="1"/>
  <c r="H45" i="1" s="1"/>
  <c r="E46" i="1"/>
  <c r="H33" i="1"/>
  <c r="H32" i="1" s="1"/>
  <c r="I20" i="1"/>
  <c r="I19" i="1" s="1"/>
  <c r="K20" i="1"/>
  <c r="K19" i="1" s="1"/>
  <c r="V4" i="1"/>
  <c r="E47" i="1"/>
  <c r="F47" i="1"/>
  <c r="D34" i="1"/>
  <c r="G47" i="1"/>
  <c r="E34" i="1"/>
  <c r="F31" i="3"/>
  <c r="F30" i="3" s="1"/>
  <c r="H43" i="3"/>
  <c r="H42" i="3" s="1"/>
  <c r="I20" i="3"/>
  <c r="I19" i="3" s="1"/>
  <c r="I50" i="3"/>
  <c r="K69" i="3"/>
  <c r="H50" i="3"/>
  <c r="H69" i="3"/>
  <c r="G50" i="3"/>
  <c r="G69" i="3"/>
  <c r="F50" i="3"/>
  <c r="F69" i="3"/>
  <c r="E50" i="3"/>
  <c r="E69" i="3"/>
  <c r="D50" i="3"/>
  <c r="D69" i="3"/>
  <c r="H31" i="3"/>
  <c r="H30" i="3" s="1"/>
  <c r="D43" i="3"/>
  <c r="D42" i="3" s="1"/>
  <c r="E20" i="3"/>
  <c r="E19" i="3" s="1"/>
  <c r="D31" i="3"/>
  <c r="D30" i="3" s="1"/>
  <c r="F43" i="3"/>
  <c r="F42" i="3" s="1"/>
  <c r="V4" i="3"/>
  <c r="J28" i="2"/>
  <c r="J29" i="2" s="1"/>
  <c r="J31" i="2" s="1"/>
  <c r="J30" i="2" s="1"/>
  <c r="G32" i="2"/>
  <c r="G33" i="2" s="1"/>
  <c r="E32" i="2"/>
  <c r="I44" i="2"/>
  <c r="I43" i="2" s="1"/>
  <c r="E20" i="2"/>
  <c r="E19" i="2" s="1"/>
  <c r="K44" i="2"/>
  <c r="K43" i="2" s="1"/>
  <c r="F20" i="2"/>
  <c r="F19" i="2" s="1"/>
  <c r="D20" i="2"/>
  <c r="D19" i="2" s="1"/>
  <c r="F44" i="2"/>
  <c r="F43" i="2" s="1"/>
  <c r="D31" i="2"/>
  <c r="H20" i="2"/>
  <c r="H19" i="2" s="1"/>
  <c r="V4" i="2"/>
  <c r="F54" i="2" s="1"/>
  <c r="H44" i="2"/>
  <c r="H43" i="2" s="1"/>
  <c r="D32" i="2"/>
  <c r="K28" i="2"/>
  <c r="K29" i="2" s="1"/>
  <c r="K31" i="2" s="1"/>
  <c r="K30" i="2" s="1"/>
  <c r="F31" i="2"/>
  <c r="D44" i="2"/>
  <c r="D43" i="2" s="1"/>
  <c r="I53" i="2"/>
  <c r="E72" i="2"/>
  <c r="K72" i="2"/>
  <c r="H53" i="2"/>
  <c r="H72" i="2"/>
  <c r="G53" i="2"/>
  <c r="G72" i="2"/>
  <c r="F53" i="2"/>
  <c r="D53" i="2"/>
  <c r="F72" i="2"/>
  <c r="E53" i="2"/>
  <c r="D72" i="2"/>
  <c r="E44" i="2"/>
  <c r="E43" i="2" s="1"/>
  <c r="G20" i="2"/>
  <c r="G19" i="2" s="1"/>
  <c r="E31" i="2"/>
  <c r="G44" i="2"/>
  <c r="G43" i="2" s="1"/>
  <c r="I20" i="2"/>
  <c r="I19" i="2" s="1"/>
  <c r="E22" i="1" l="1"/>
  <c r="D35" i="1"/>
  <c r="G22" i="1"/>
  <c r="F22" i="1"/>
  <c r="D22" i="1"/>
  <c r="G35" i="1"/>
  <c r="E35" i="1"/>
  <c r="I67" i="1" s="1"/>
  <c r="D48" i="1"/>
  <c r="F35" i="1"/>
  <c r="G45" i="1"/>
  <c r="G48" i="1"/>
  <c r="V7" i="1"/>
  <c r="W7" i="1" s="1"/>
  <c r="W10" i="1" s="1"/>
  <c r="E48" i="1"/>
  <c r="E45" i="1"/>
  <c r="F45" i="1"/>
  <c r="F48" i="1"/>
  <c r="D70" i="3"/>
  <c r="E70" i="3"/>
  <c r="I51" i="3"/>
  <c r="K70" i="3"/>
  <c r="H51" i="3"/>
  <c r="V7" i="3"/>
  <c r="W7" i="3" s="1"/>
  <c r="W10" i="3" s="1"/>
  <c r="H70" i="3"/>
  <c r="G51" i="3"/>
  <c r="G70" i="3"/>
  <c r="F51" i="3"/>
  <c r="F70" i="3"/>
  <c r="E51" i="3"/>
  <c r="D51" i="3"/>
  <c r="K73" i="2"/>
  <c r="F73" i="2"/>
  <c r="E54" i="2"/>
  <c r="H54" i="2"/>
  <c r="V7" i="2"/>
  <c r="W7" i="2" s="1"/>
  <c r="W10" i="2" s="1"/>
  <c r="D74" i="2" s="1"/>
  <c r="G73" i="2"/>
  <c r="H73" i="2"/>
  <c r="I54" i="2"/>
  <c r="G54" i="2"/>
  <c r="F30" i="2"/>
  <c r="F33" i="2"/>
  <c r="D30" i="2"/>
  <c r="D33" i="2"/>
  <c r="E30" i="2"/>
  <c r="E33" i="2"/>
  <c r="D73" i="2"/>
  <c r="D54" i="2"/>
  <c r="E73" i="2"/>
  <c r="K77" i="3" l="1"/>
  <c r="K76" i="3" s="1"/>
  <c r="E58" i="3"/>
  <c r="E57" i="3" s="1"/>
  <c r="F77" i="3"/>
  <c r="F76" i="3" s="1"/>
  <c r="D58" i="3"/>
  <c r="D57" i="3" s="1"/>
  <c r="E77" i="3"/>
  <c r="E76" i="3" s="1"/>
  <c r="F71" i="3"/>
  <c r="E52" i="3"/>
  <c r="E71" i="3"/>
  <c r="D52" i="3"/>
  <c r="D71" i="3"/>
  <c r="D77" i="3" s="1"/>
  <c r="D76" i="3" s="1"/>
  <c r="K52" i="3"/>
  <c r="I52" i="3"/>
  <c r="I58" i="3" s="1"/>
  <c r="I57" i="3" s="1"/>
  <c r="G71" i="3"/>
  <c r="G77" i="3" s="1"/>
  <c r="G76" i="3" s="1"/>
  <c r="K71" i="3"/>
  <c r="H52" i="3"/>
  <c r="H58" i="3" s="1"/>
  <c r="H57" i="3" s="1"/>
  <c r="H71" i="3"/>
  <c r="H77" i="3" s="1"/>
  <c r="H76" i="3" s="1"/>
  <c r="G52" i="3"/>
  <c r="G58" i="3" s="1"/>
  <c r="G57" i="3" s="1"/>
  <c r="F52" i="3"/>
  <c r="F58" i="3" s="1"/>
  <c r="F57" i="3" s="1"/>
  <c r="D80" i="2"/>
  <c r="D79" i="2" s="1"/>
  <c r="H55" i="2"/>
  <c r="H61" i="2" s="1"/>
  <c r="H60" i="2" s="1"/>
  <c r="F55" i="2"/>
  <c r="F61" i="2" s="1"/>
  <c r="F60" i="2" s="1"/>
  <c r="K74" i="2"/>
  <c r="K80" i="2" s="1"/>
  <c r="K79" i="2" s="1"/>
  <c r="E74" i="2"/>
  <c r="E80" i="2" s="1"/>
  <c r="E79" i="2" s="1"/>
  <c r="E55" i="2"/>
  <c r="E61" i="2" s="1"/>
  <c r="E60" i="2" s="1"/>
  <c r="G74" i="2"/>
  <c r="G80" i="2" s="1"/>
  <c r="G79" i="2" s="1"/>
  <c r="F74" i="2"/>
  <c r="F80" i="2" s="1"/>
  <c r="F79" i="2" s="1"/>
  <c r="D55" i="2"/>
  <c r="D61" i="2" s="1"/>
  <c r="D60" i="2" s="1"/>
  <c r="G55" i="2"/>
  <c r="G61" i="2" s="1"/>
  <c r="G60" i="2" s="1"/>
  <c r="H74" i="2"/>
  <c r="H80" i="2" s="1"/>
  <c r="H79" i="2" s="1"/>
  <c r="I55" i="2"/>
  <c r="I61" i="2" s="1"/>
  <c r="I60" i="2" s="1"/>
  <c r="K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iduncan</author>
  </authors>
  <commentList>
    <comment ref="B73" authorId="0" shapeId="0" xr:uid="{3F7B074E-887A-405A-8774-00847B9DB81A}">
      <text>
        <r>
          <rPr>
            <b/>
            <sz val="9"/>
            <color indexed="81"/>
            <rFont val="Tahoma"/>
            <family val="2"/>
          </rPr>
          <t xml:space="preserve">3/28/2013
</t>
        </r>
        <r>
          <rPr>
            <sz val="9"/>
            <color indexed="81"/>
            <rFont val="Tahoma"/>
            <family val="2"/>
          </rPr>
          <t>Using MPG provided by Hertz.com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iduncan</author>
  </authors>
  <commentList>
    <comment ref="B76" authorId="0" shapeId="0" xr:uid="{7723388B-B743-4DA1-B7AB-0F3CA169F94F}">
      <text>
        <r>
          <rPr>
            <b/>
            <sz val="9"/>
            <color indexed="81"/>
            <rFont val="Tahoma"/>
            <family val="2"/>
          </rPr>
          <t xml:space="preserve">3/28/2013
</t>
        </r>
        <r>
          <rPr>
            <sz val="9"/>
            <color indexed="81"/>
            <rFont val="Tahoma"/>
            <family val="2"/>
          </rPr>
          <t>Using MPG provided by Hertz.com</t>
        </r>
      </text>
    </comment>
  </commentList>
</comments>
</file>

<file path=xl/sharedStrings.xml><?xml version="1.0" encoding="utf-8"?>
<sst xmlns="http://schemas.openxmlformats.org/spreadsheetml/2006/main" count="530" uniqueCount="106">
  <si>
    <t>2021-2023</t>
  </si>
  <si>
    <t>Fleet Rate Model</t>
  </si>
  <si>
    <t>Daily Rental Cost Calculator</t>
  </si>
  <si>
    <t>Revised:</t>
  </si>
  <si>
    <t>Hrs Calc.</t>
  </si>
  <si>
    <t>Number of Days</t>
  </si>
  <si>
    <t>Fill in Estimated Amounts Here:</t>
  </si>
  <si>
    <t>Number of Hours</t>
  </si>
  <si>
    <t>Days:</t>
  </si>
  <si>
    <t>Fill in estimated days of vehicle use.</t>
  </si>
  <si>
    <t>Miles:</t>
  </si>
  <si>
    <t>Fill in estimated mileage for your trip.</t>
  </si>
  <si>
    <t>Mileage estimator:</t>
  </si>
  <si>
    <t>https://www.oregon.gov/das/FleetPark/Pages/tools.aspx</t>
  </si>
  <si>
    <t># Miles Allowed Daily</t>
  </si>
  <si>
    <r>
      <t xml:space="preserve">Hours </t>
    </r>
    <r>
      <rPr>
        <b/>
        <i/>
        <sz val="10"/>
        <rFont val="Univers"/>
        <family val="2"/>
      </rPr>
      <t>(</t>
    </r>
    <r>
      <rPr>
        <b/>
        <i/>
        <sz val="10"/>
        <color indexed="10"/>
        <rFont val="Univers"/>
        <family val="2"/>
      </rPr>
      <t>ZipCar Only</t>
    </r>
    <r>
      <rPr>
        <b/>
        <i/>
        <sz val="10"/>
        <rFont val="Univers"/>
        <family val="2"/>
      </rPr>
      <t>):</t>
    </r>
  </si>
  <si>
    <t>Possible hours 1 - 6.  If 7 or more hours, enter 1 day in "Days" above.</t>
  </si>
  <si>
    <t>Addl Miles Charge</t>
  </si>
  <si>
    <t>DAS Daily Rental</t>
  </si>
  <si>
    <t>Hybrid  (Prius)</t>
  </si>
  <si>
    <t>Intermediate Sedan</t>
  </si>
  <si>
    <t>SUV          Ford Escape</t>
  </si>
  <si>
    <t>Jeep Grand Cherokee</t>
  </si>
  <si>
    <t>7 Pass Van</t>
  </si>
  <si>
    <t>12 Pass Van</t>
  </si>
  <si>
    <t>Cargo Van</t>
  </si>
  <si>
    <t>Pickup</t>
  </si>
  <si>
    <t>DAS Daily Rate</t>
  </si>
  <si>
    <t>Total Rental Charge</t>
  </si>
  <si>
    <t>Avg. Fuel Cost per Gallon</t>
  </si>
  <si>
    <t>Avg. Highway Miles per Gallon</t>
  </si>
  <si>
    <t>Avg. Fuel Cost per Mile</t>
  </si>
  <si>
    <t>Total Estimated Fuel Charges</t>
  </si>
  <si>
    <t>Total Cost per Mile</t>
  </si>
  <si>
    <t>Total Travel Cost</t>
  </si>
  <si>
    <t>Enterprise Rent-A-Car / National Car Rental</t>
  </si>
  <si>
    <t>SUV (Standard)</t>
  </si>
  <si>
    <t>SUV          (Full Size)</t>
  </si>
  <si>
    <t>Enterprise Daily Rate</t>
  </si>
  <si>
    <t>n/a</t>
  </si>
  <si>
    <t>Avg. Fuel Cost per Gallon**</t>
  </si>
  <si>
    <t>Enterprise web site</t>
  </si>
  <si>
    <t>Hertz</t>
  </si>
  <si>
    <t xml:space="preserve">Hybrid </t>
  </si>
  <si>
    <t>Hertz Daily Rate *</t>
  </si>
  <si>
    <t>* Hertz may charge an additional daily surcharge of $10 for specific cities. Refer to the contract for more information.</t>
  </si>
  <si>
    <t>Hertz web site</t>
  </si>
  <si>
    <t>WeCar</t>
  </si>
  <si>
    <t>Compact Sedan</t>
  </si>
  <si>
    <t>Full Size Sedan</t>
  </si>
  <si>
    <t>Hybrid</t>
  </si>
  <si>
    <t>SUV</t>
  </si>
  <si>
    <t>WeCar Daily Rate (avg)</t>
  </si>
  <si>
    <t>WeCar Hourly Rate (avg)</t>
  </si>
  <si>
    <t>Total Rental Charge - Hourly</t>
  </si>
  <si>
    <t>-</t>
  </si>
  <si>
    <t>Total Rental Charge - Daily</t>
  </si>
  <si>
    <t>Mileage Charge</t>
  </si>
  <si>
    <t>Fuel included</t>
  </si>
  <si>
    <t>--WeCar is available in Salem only.</t>
  </si>
  <si>
    <t>In the calculator at the top of this sheet, enter either "Days" or "Hours"; do not enter data in both fields (cells D7 and D10).</t>
  </si>
  <si>
    <t>WeCar web site</t>
  </si>
  <si>
    <t>--Fuel is included in the daily and hourly rate.</t>
  </si>
  <si>
    <t>--Vehicle rates vary based on the actual vehicle type.</t>
  </si>
  <si>
    <t>--If renting for a 24 hour period the daily rate will apply.</t>
  </si>
  <si>
    <t>--Individual Membership and application fees may apply.</t>
  </si>
  <si>
    <t>Zipcar</t>
  </si>
  <si>
    <t xml:space="preserve">Station Wagon </t>
  </si>
  <si>
    <t>Prius</t>
  </si>
  <si>
    <t>ZipCar Daily Rate (avg)</t>
  </si>
  <si>
    <t>ZipCar Hourly Rate (avg)</t>
  </si>
  <si>
    <t>--ZipCar is available in Portland only.</t>
  </si>
  <si>
    <t>Zipcar web site</t>
  </si>
  <si>
    <t>--Fuel and insurance are included in the daily and hourly rate.</t>
  </si>
  <si>
    <t>--If renting for a 24 hour period the daily rate is $66 per day; if renting from 7 am to 7 pm the rate is $56 per day.</t>
  </si>
  <si>
    <t>--180 miles included at no charge each day; $0.45 per mile for each mile above 180.</t>
  </si>
  <si>
    <t xml:space="preserve">** The average fuel cost per gallon for Enterprise and Hertz comes from http://www.oregongasprices.com/Prices_nationally.aspx </t>
  </si>
  <si>
    <t>The cost of fuel will vary based on fueling location.</t>
  </si>
  <si>
    <t>Average miles per gallon will vary depending on vehicle type, type of travel e.g., highway vs. city, and driving style.</t>
  </si>
  <si>
    <t>Daily rates are subject to change and vary depending on vehicle type.</t>
  </si>
  <si>
    <t>Vehicle costs and averages are subject to change.</t>
  </si>
  <si>
    <t>Insurance Disclaimer:</t>
  </si>
  <si>
    <t>http://arcweb.sos.state.or.us/pages/rules/oars_100/oar_125/125_155.html</t>
  </si>
  <si>
    <t>State of Oregon is not liable for damage to privately owned vehicles.</t>
  </si>
  <si>
    <t>Average Fuel Price (as of 7/21/2022)</t>
  </si>
  <si>
    <t>Be sure your personal auto insurance is in effect when driving on state business.</t>
  </si>
  <si>
    <t>DAS Avg Unleaded</t>
  </si>
  <si>
    <t>per gallon</t>
  </si>
  <si>
    <t>Oregon Avg Unleaded</t>
  </si>
  <si>
    <t>Privately Owned Vehicle (POV) Mileage Reimbursement Rates</t>
  </si>
  <si>
    <t>Source:</t>
  </si>
  <si>
    <t>GSA website</t>
  </si>
  <si>
    <r>
      <t xml:space="preserve">Reimbursement rate if use of POV is authorized or Government-owned vehicle is </t>
    </r>
    <r>
      <rPr>
        <i/>
        <sz val="10"/>
        <rFont val="Arial"/>
        <family val="2"/>
      </rPr>
      <t>not</t>
    </r>
    <r>
      <rPr>
        <sz val="10"/>
        <rFont val="Arial"/>
        <family val="2"/>
      </rPr>
      <t xml:space="preserve"> available:</t>
    </r>
  </si>
  <si>
    <t>Total POV Reimbursement:</t>
  </si>
  <si>
    <r>
      <t xml:space="preserve">Reimbursement rate if Government-owned vehicle </t>
    </r>
    <r>
      <rPr>
        <i/>
        <sz val="10"/>
        <rFont val="Arial"/>
        <family val="2"/>
      </rPr>
      <t>is</t>
    </r>
    <r>
      <rPr>
        <sz val="10"/>
        <rFont val="Arial"/>
        <family val="2"/>
      </rPr>
      <t xml:space="preserve"> available:</t>
    </r>
  </si>
  <si>
    <t>DAS POV Policy</t>
  </si>
  <si>
    <t>http://www.oregon.gov/das/Financial/Acctng/Documents/40.10.00.pdf</t>
  </si>
  <si>
    <t>round trip to Enterprise Salen from WOU</t>
  </si>
  <si>
    <t>WOU to Enterprise Salem Round Trip to obtain Car</t>
  </si>
  <si>
    <t>Total Travel Cost with car pick up</t>
  </si>
  <si>
    <t>round trip to Hertz Salem from WOU</t>
  </si>
  <si>
    <r>
      <t xml:space="preserve">Reimbursement rate if use of POV is authorized or rental vehicle is </t>
    </r>
    <r>
      <rPr>
        <i/>
        <sz val="10"/>
        <rFont val="Arial"/>
        <family val="2"/>
      </rPr>
      <t>not</t>
    </r>
    <r>
      <rPr>
        <sz val="10"/>
        <rFont val="Arial"/>
        <family val="2"/>
      </rPr>
      <t xml:space="preserve"> available:</t>
    </r>
  </si>
  <si>
    <r>
      <t xml:space="preserve">Reimbursement rate if rental vehicle </t>
    </r>
    <r>
      <rPr>
        <i/>
        <sz val="10"/>
        <rFont val="Arial"/>
        <family val="2"/>
      </rPr>
      <t>is</t>
    </r>
    <r>
      <rPr>
        <sz val="10"/>
        <rFont val="Arial"/>
        <family val="2"/>
      </rPr>
      <t xml:space="preserve"> available:</t>
    </r>
  </si>
  <si>
    <t>POV or Rent?</t>
  </si>
  <si>
    <t>round trip to Salem from WOU</t>
  </si>
  <si>
    <t>round trip to Enterprise Salem from WOU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</si>
</sst>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&quot;$&quot;#,##0.00"/>
    <numFmt numFmtId="167" formatCode="_(&quot;$&quot;* #,##0.000_);_(&quot;$&quot;* \(#,##0.000\);_(&quot;$&quot;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Univers"/>
      <family val="2"/>
    </font>
    <font>
      <b/>
      <sz val="12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name val="Univers"/>
      <family val="2"/>
    </font>
    <font>
      <b/>
      <i/>
      <sz val="10"/>
      <name val="Univers"/>
      <family val="2"/>
    </font>
    <font>
      <sz val="10"/>
      <name val="Arial"/>
      <family val="2"/>
    </font>
    <font>
      <b/>
      <i/>
      <sz val="12"/>
      <name val="Univers"/>
      <family val="2"/>
    </font>
    <font>
      <b/>
      <sz val="11"/>
      <name val="Univers"/>
      <family val="2"/>
    </font>
    <font>
      <sz val="8"/>
      <name val="Univers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10"/>
      <color indexed="12"/>
      <name val="Univers"/>
      <family val="2"/>
    </font>
    <font>
      <b/>
      <sz val="10"/>
      <name val="Univers"/>
      <family val="2"/>
    </font>
    <font>
      <b/>
      <i/>
      <sz val="10"/>
      <color indexed="10"/>
      <name val="Univers"/>
      <family val="2"/>
    </font>
    <font>
      <sz val="11"/>
      <name val="Univers"/>
      <family val="2"/>
    </font>
    <font>
      <i/>
      <sz val="10"/>
      <name val="Univers"/>
      <family val="2"/>
    </font>
    <font>
      <b/>
      <sz val="12"/>
      <name val="Univers"/>
      <family val="2"/>
    </font>
    <font>
      <sz val="9"/>
      <name val="Univers"/>
      <family val="2"/>
    </font>
    <font>
      <b/>
      <sz val="9"/>
      <color indexed="18"/>
      <name val="Univers"/>
      <family val="2"/>
    </font>
    <font>
      <b/>
      <sz val="10"/>
      <name val="Arial"/>
      <family val="2"/>
    </font>
    <font>
      <sz val="9"/>
      <color indexed="18"/>
      <name val="Univers"/>
      <family val="2"/>
    </font>
    <font>
      <b/>
      <sz val="9"/>
      <name val="Univers"/>
      <family val="2"/>
    </font>
    <font>
      <sz val="12"/>
      <name val="Arial"/>
      <family val="2"/>
    </font>
    <font>
      <b/>
      <sz val="8"/>
      <color indexed="10"/>
      <name val="Univers"/>
      <family val="2"/>
    </font>
    <font>
      <b/>
      <sz val="8"/>
      <name val="Univers"/>
      <family val="2"/>
    </font>
    <font>
      <b/>
      <sz val="8"/>
      <color rgb="FFFF0000"/>
      <name val="Univers"/>
      <family val="2"/>
    </font>
    <font>
      <u/>
      <sz val="10"/>
      <color indexed="12"/>
      <name val="Univers"/>
      <family val="2"/>
    </font>
    <font>
      <sz val="12"/>
      <name val="Univers"/>
      <family val="2"/>
    </font>
    <font>
      <sz val="9"/>
      <name val="Arial"/>
      <family val="2"/>
    </font>
    <font>
      <sz val="9"/>
      <name val="Tahoma"/>
      <family val="2"/>
    </font>
    <font>
      <sz val="8"/>
      <name val="Tahoma"/>
      <family val="2"/>
    </font>
    <font>
      <u/>
      <sz val="9"/>
      <color indexed="12"/>
      <name val="Arial"/>
      <family val="2"/>
    </font>
    <font>
      <i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96">
    <xf numFmtId="0" fontId="0" fillId="0" borderId="0" xfId="0"/>
    <xf numFmtId="0" fontId="4" fillId="0" borderId="0" xfId="0" applyFont="1"/>
    <xf numFmtId="0" fontId="3" fillId="2" borderId="6" xfId="0" applyFont="1" applyFill="1" applyBorder="1"/>
    <xf numFmtId="0" fontId="0" fillId="2" borderId="7" xfId="0" applyFill="1" applyBorder="1"/>
    <xf numFmtId="0" fontId="5" fillId="2" borderId="7" xfId="0" applyFont="1" applyFill="1" applyBorder="1" applyAlignment="1">
      <alignment horizontal="right"/>
    </xf>
    <xf numFmtId="14" fontId="5" fillId="2" borderId="8" xfId="0" applyNumberFormat="1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164" fontId="9" fillId="0" borderId="0" xfId="0" applyNumberFormat="1" applyFont="1"/>
    <xf numFmtId="0" fontId="7" fillId="0" borderId="0" xfId="0" applyFont="1" applyAlignment="1">
      <alignment vertical="center"/>
    </xf>
    <xf numFmtId="0" fontId="11" fillId="0" borderId="9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3" borderId="12" xfId="0" applyFont="1" applyFill="1" applyBorder="1" applyAlignment="1" applyProtection="1">
      <alignment horizontal="center"/>
      <protection locked="0"/>
    </xf>
    <xf numFmtId="0" fontId="12" fillId="0" borderId="9" xfId="0" applyFont="1" applyBorder="1" applyAlignment="1">
      <alignment vertical="center"/>
    </xf>
    <xf numFmtId="0" fontId="7" fillId="0" borderId="10" xfId="0" applyFont="1" applyBorder="1"/>
    <xf numFmtId="0" fontId="7" fillId="0" borderId="10" xfId="0" applyFont="1" applyBorder="1" applyAlignment="1">
      <alignment vertical="center"/>
    </xf>
    <xf numFmtId="0" fontId="7" fillId="0" borderId="11" xfId="0" applyFont="1" applyBorder="1"/>
    <xf numFmtId="0" fontId="11" fillId="0" borderId="6" xfId="0" applyFont="1" applyBorder="1" applyAlignment="1">
      <alignment horizontal="right"/>
    </xf>
    <xf numFmtId="0" fontId="11" fillId="3" borderId="13" xfId="0" applyFont="1" applyFill="1" applyBorder="1" applyAlignment="1" applyProtection="1">
      <alignment horizontal="center"/>
      <protection locked="0"/>
    </xf>
    <xf numFmtId="0" fontId="12" fillId="0" borderId="10" xfId="0" applyFont="1" applyBorder="1" applyAlignment="1">
      <alignment horizontal="right"/>
    </xf>
    <xf numFmtId="0" fontId="14" fillId="0" borderId="10" xfId="3" applyFont="1" applyBorder="1" applyAlignment="1" applyProtection="1">
      <alignment horizontal="right"/>
    </xf>
    <xf numFmtId="164" fontId="9" fillId="0" borderId="0" xfId="1" applyNumberFormat="1" applyFont="1"/>
    <xf numFmtId="0" fontId="11" fillId="0" borderId="10" xfId="0" applyFont="1" applyBorder="1" applyAlignment="1">
      <alignment horizontal="right"/>
    </xf>
    <xf numFmtId="0" fontId="11" fillId="0" borderId="10" xfId="0" applyFont="1" applyBorder="1" applyAlignment="1" applyProtection="1">
      <alignment horizontal="center"/>
      <protection locked="0"/>
    </xf>
    <xf numFmtId="0" fontId="12" fillId="0" borderId="10" xfId="0" applyFont="1" applyBorder="1" applyAlignment="1">
      <alignment vertical="center"/>
    </xf>
    <xf numFmtId="0" fontId="16" fillId="0" borderId="10" xfId="0" applyFont="1" applyBorder="1"/>
    <xf numFmtId="44" fontId="9" fillId="0" borderId="0" xfId="2" applyFont="1"/>
    <xf numFmtId="0" fontId="17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44" fontId="9" fillId="0" borderId="0" xfId="2" applyFont="1" applyFill="1"/>
    <xf numFmtId="0" fontId="19" fillId="0" borderId="0" xfId="0" applyFont="1" applyAlignment="1">
      <alignment horizontal="right"/>
    </xf>
    <xf numFmtId="0" fontId="11" fillId="0" borderId="0" xfId="0" applyFont="1"/>
    <xf numFmtId="0" fontId="20" fillId="0" borderId="0" xfId="0" applyFont="1"/>
    <xf numFmtId="0" fontId="7" fillId="0" borderId="14" xfId="0" applyFont="1" applyBorder="1"/>
    <xf numFmtId="0" fontId="7" fillId="2" borderId="15" xfId="0" applyFont="1" applyFill="1" applyBorder="1"/>
    <xf numFmtId="0" fontId="17" fillId="4" borderId="15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left"/>
    </xf>
    <xf numFmtId="0" fontId="23" fillId="2" borderId="18" xfId="0" applyFont="1" applyFill="1" applyBorder="1"/>
    <xf numFmtId="44" fontId="22" fillId="0" borderId="18" xfId="2" applyFont="1" applyFill="1" applyBorder="1" applyAlignment="1">
      <alignment horizontal="center"/>
    </xf>
    <xf numFmtId="44" fontId="22" fillId="0" borderId="19" xfId="2" applyFont="1" applyFill="1" applyBorder="1" applyAlignment="1">
      <alignment horizontal="center"/>
    </xf>
    <xf numFmtId="44" fontId="22" fillId="0" borderId="20" xfId="2" applyFont="1" applyFill="1" applyBorder="1" applyAlignment="1">
      <alignment horizontal="center"/>
    </xf>
    <xf numFmtId="0" fontId="24" fillId="0" borderId="0" xfId="0" applyFont="1"/>
    <xf numFmtId="0" fontId="25" fillId="2" borderId="18" xfId="0" applyFont="1" applyFill="1" applyBorder="1"/>
    <xf numFmtId="44" fontId="22" fillId="0" borderId="21" xfId="2" applyFont="1" applyFill="1" applyBorder="1" applyAlignment="1">
      <alignment horizontal="center"/>
    </xf>
    <xf numFmtId="165" fontId="22" fillId="0" borderId="18" xfId="1" applyNumberFormat="1" applyFont="1" applyFill="1" applyBorder="1" applyAlignment="1">
      <alignment horizontal="right"/>
    </xf>
    <xf numFmtId="165" fontId="22" fillId="0" borderId="19" xfId="1" applyNumberFormat="1" applyFont="1" applyFill="1" applyBorder="1" applyAlignment="1">
      <alignment horizontal="right"/>
    </xf>
    <xf numFmtId="165" fontId="22" fillId="0" borderId="20" xfId="1" applyNumberFormat="1" applyFont="1" applyFill="1" applyBorder="1" applyAlignment="1">
      <alignment horizontal="right"/>
    </xf>
    <xf numFmtId="44" fontId="22" fillId="0" borderId="18" xfId="0" applyNumberFormat="1" applyFont="1" applyBorder="1" applyAlignment="1">
      <alignment horizontal="center"/>
    </xf>
    <xf numFmtId="44" fontId="22" fillId="0" borderId="19" xfId="0" applyNumberFormat="1" applyFont="1" applyBorder="1" applyAlignment="1">
      <alignment horizontal="center"/>
    </xf>
    <xf numFmtId="44" fontId="22" fillId="0" borderId="21" xfId="0" applyNumberFormat="1" applyFont="1" applyBorder="1" applyAlignment="1">
      <alignment horizontal="center"/>
    </xf>
    <xf numFmtId="44" fontId="22" fillId="0" borderId="20" xfId="0" applyNumberFormat="1" applyFont="1" applyBorder="1" applyAlignment="1">
      <alignment horizontal="center"/>
    </xf>
    <xf numFmtId="44" fontId="22" fillId="0" borderId="22" xfId="0" applyNumberFormat="1" applyFont="1" applyBorder="1" applyAlignment="1">
      <alignment horizontal="center"/>
    </xf>
    <xf numFmtId="44" fontId="22" fillId="0" borderId="23" xfId="0" applyNumberFormat="1" applyFont="1" applyBorder="1" applyAlignment="1">
      <alignment horizontal="center"/>
    </xf>
    <xf numFmtId="0" fontId="26" fillId="0" borderId="24" xfId="0" applyFont="1" applyBorder="1" applyAlignment="1">
      <alignment horizontal="left"/>
    </xf>
    <xf numFmtId="0" fontId="26" fillId="2" borderId="25" xfId="0" applyFont="1" applyFill="1" applyBorder="1" applyAlignment="1">
      <alignment horizontal="center"/>
    </xf>
    <xf numFmtId="44" fontId="26" fillId="0" borderId="26" xfId="2" applyFont="1" applyFill="1" applyBorder="1" applyAlignment="1">
      <alignment horizontal="center"/>
    </xf>
    <xf numFmtId="44" fontId="26" fillId="0" borderId="27" xfId="2" applyFont="1" applyFill="1" applyBorder="1" applyAlignment="1">
      <alignment horizontal="center"/>
    </xf>
    <xf numFmtId="44" fontId="26" fillId="0" borderId="7" xfId="2" applyFont="1" applyFill="1" applyBorder="1" applyAlignment="1">
      <alignment horizontal="center"/>
    </xf>
    <xf numFmtId="44" fontId="26" fillId="0" borderId="28" xfId="2" applyFont="1" applyFill="1" applyBorder="1" applyAlignment="1">
      <alignment horizontal="center"/>
    </xf>
    <xf numFmtId="0" fontId="27" fillId="0" borderId="0" xfId="0" applyFont="1"/>
    <xf numFmtId="44" fontId="22" fillId="0" borderId="18" xfId="2" applyFont="1" applyFill="1" applyBorder="1" applyAlignment="1">
      <alignment horizontal="right"/>
    </xf>
    <xf numFmtId="44" fontId="22" fillId="0" borderId="20" xfId="2" applyFont="1" applyFill="1" applyBorder="1" applyAlignment="1">
      <alignment horizontal="right"/>
    </xf>
    <xf numFmtId="37" fontId="22" fillId="0" borderId="18" xfId="1" applyNumberFormat="1" applyFont="1" applyFill="1" applyBorder="1" applyAlignment="1">
      <alignment horizontal="right"/>
    </xf>
    <xf numFmtId="37" fontId="22" fillId="0" borderId="20" xfId="1" applyNumberFormat="1" applyFont="1" applyFill="1" applyBorder="1" applyAlignment="1">
      <alignment horizontal="right"/>
    </xf>
    <xf numFmtId="0" fontId="26" fillId="2" borderId="26" xfId="0" applyFont="1" applyFill="1" applyBorder="1" applyAlignment="1">
      <alignment horizontal="center"/>
    </xf>
    <xf numFmtId="44" fontId="26" fillId="0" borderId="25" xfId="2" applyFont="1" applyFill="1" applyBorder="1" applyAlignment="1">
      <alignment horizontal="center"/>
    </xf>
    <xf numFmtId="44" fontId="26" fillId="0" borderId="29" xfId="2" applyFont="1" applyFill="1" applyBorder="1" applyAlignment="1">
      <alignment horizontal="center"/>
    </xf>
    <xf numFmtId="0" fontId="28" fillId="0" borderId="9" xfId="0" applyFont="1" applyBorder="1"/>
    <xf numFmtId="0" fontId="13" fillId="0" borderId="11" xfId="3" applyFont="1" applyBorder="1" applyAlignment="1" applyProtection="1">
      <alignment horizontal="right"/>
    </xf>
    <xf numFmtId="0" fontId="17" fillId="4" borderId="16" xfId="0" applyFont="1" applyFill="1" applyBorder="1" applyAlignment="1">
      <alignment horizontal="center" vertical="center" wrapText="1"/>
    </xf>
    <xf numFmtId="0" fontId="29" fillId="0" borderId="9" xfId="0" applyFont="1" applyBorder="1"/>
    <xf numFmtId="0" fontId="13" fillId="0" borderId="10" xfId="3" applyFont="1" applyBorder="1" applyAlignment="1" applyProtection="1"/>
    <xf numFmtId="0" fontId="7" fillId="0" borderId="30" xfId="0" applyFont="1" applyBorder="1"/>
    <xf numFmtId="0" fontId="7" fillId="2" borderId="22" xfId="0" applyFont="1" applyFill="1" applyBorder="1"/>
    <xf numFmtId="0" fontId="17" fillId="4" borderId="22" xfId="0" applyFont="1" applyFill="1" applyBorder="1" applyAlignment="1">
      <alignment horizontal="center" vertical="center" wrapText="1"/>
    </xf>
    <xf numFmtId="0" fontId="7" fillId="2" borderId="0" xfId="0" applyFont="1" applyFill="1"/>
    <xf numFmtId="3" fontId="22" fillId="0" borderId="18" xfId="1" applyNumberFormat="1" applyFont="1" applyFill="1" applyBorder="1" applyAlignment="1">
      <alignment horizontal="right"/>
    </xf>
    <xf numFmtId="3" fontId="22" fillId="0" borderId="18" xfId="2" applyNumberFormat="1" applyFont="1" applyFill="1" applyBorder="1" applyAlignment="1">
      <alignment horizontal="right"/>
    </xf>
    <xf numFmtId="3" fontId="22" fillId="0" borderId="20" xfId="1" applyNumberFormat="1" applyFont="1" applyFill="1" applyBorder="1" applyAlignment="1">
      <alignment horizontal="right"/>
    </xf>
    <xf numFmtId="0" fontId="26" fillId="0" borderId="31" xfId="0" applyFont="1" applyBorder="1" applyAlignment="1">
      <alignment horizontal="left"/>
    </xf>
    <xf numFmtId="0" fontId="26" fillId="2" borderId="32" xfId="0" applyFont="1" applyFill="1" applyBorder="1" applyAlignment="1">
      <alignment horizontal="center"/>
    </xf>
    <xf numFmtId="44" fontId="26" fillId="0" borderId="32" xfId="2" applyFont="1" applyFill="1" applyBorder="1" applyAlignment="1">
      <alignment horizontal="center"/>
    </xf>
    <xf numFmtId="44" fontId="22" fillId="0" borderId="32" xfId="2" applyFont="1" applyFill="1" applyBorder="1" applyAlignment="1">
      <alignment horizontal="center"/>
    </xf>
    <xf numFmtId="44" fontId="26" fillId="0" borderId="33" xfId="2" applyFont="1" applyFill="1" applyBorder="1" applyAlignment="1">
      <alignment horizontal="center"/>
    </xf>
    <xf numFmtId="0" fontId="12" fillId="0" borderId="1" xfId="0" quotePrefix="1" applyFont="1" applyBorder="1" applyAlignment="1">
      <alignment horizontal="left"/>
    </xf>
    <xf numFmtId="0" fontId="30" fillId="0" borderId="0" xfId="0" applyFont="1" applyAlignment="1">
      <alignment horizontal="left"/>
    </xf>
    <xf numFmtId="0" fontId="22" fillId="0" borderId="2" xfId="0" applyFont="1" applyBorder="1" applyAlignment="1">
      <alignment horizontal="left"/>
    </xf>
    <xf numFmtId="0" fontId="7" fillId="0" borderId="2" xfId="0" applyFont="1" applyBorder="1"/>
    <xf numFmtId="0" fontId="2" fillId="0" borderId="2" xfId="3" applyBorder="1" applyAlignment="1" applyProtection="1"/>
    <xf numFmtId="0" fontId="2" fillId="0" borderId="3" xfId="3" applyBorder="1" applyAlignment="1" applyProtection="1">
      <alignment horizontal="right"/>
    </xf>
    <xf numFmtId="0" fontId="12" fillId="0" borderId="4" xfId="0" quotePrefix="1" applyFont="1" applyBorder="1" applyAlignment="1">
      <alignment horizontal="left"/>
    </xf>
    <xf numFmtId="0" fontId="22" fillId="0" borderId="0" xfId="0" applyFont="1" applyAlignment="1">
      <alignment horizontal="left"/>
    </xf>
    <xf numFmtId="0" fontId="31" fillId="0" borderId="0" xfId="3" applyFont="1" applyBorder="1" applyAlignment="1" applyProtection="1"/>
    <xf numFmtId="0" fontId="7" fillId="0" borderId="5" xfId="0" applyFont="1" applyBorder="1"/>
    <xf numFmtId="0" fontId="12" fillId="0" borderId="6" xfId="0" quotePrefix="1" applyFont="1" applyBorder="1" applyAlignment="1">
      <alignment horizontal="left"/>
    </xf>
    <xf numFmtId="0" fontId="7" fillId="0" borderId="7" xfId="0" applyFont="1" applyBorder="1"/>
    <xf numFmtId="0" fontId="7" fillId="0" borderId="8" xfId="0" applyFont="1" applyBorder="1"/>
    <xf numFmtId="0" fontId="13" fillId="0" borderId="2" xfId="3" applyFont="1" applyBorder="1" applyAlignment="1" applyProtection="1"/>
    <xf numFmtId="0" fontId="13" fillId="0" borderId="3" xfId="3" applyFont="1" applyBorder="1" applyAlignment="1" applyProtection="1">
      <alignment horizontal="right"/>
    </xf>
    <xf numFmtId="0" fontId="29" fillId="0" borderId="9" xfId="0" applyFont="1" applyBorder="1" applyAlignment="1">
      <alignment horizontal="left"/>
    </xf>
    <xf numFmtId="0" fontId="32" fillId="0" borderId="10" xfId="0" applyFont="1" applyBorder="1"/>
    <xf numFmtId="0" fontId="9" fillId="0" borderId="10" xfId="0" applyFont="1" applyBorder="1"/>
    <xf numFmtId="166" fontId="2" fillId="0" borderId="10" xfId="3" applyNumberFormat="1" applyFill="1" applyBorder="1" applyAlignment="1" applyProtection="1">
      <alignment horizontal="left"/>
    </xf>
    <xf numFmtId="0" fontId="24" fillId="0" borderId="11" xfId="0" applyFont="1" applyBorder="1"/>
    <xf numFmtId="0" fontId="22" fillId="0" borderId="1" xfId="0" applyFont="1" applyBorder="1" applyAlignment="1">
      <alignment horizontal="left"/>
    </xf>
    <xf numFmtId="0" fontId="33" fillId="0" borderId="2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/>
    <xf numFmtId="0" fontId="22" fillId="0" borderId="4" xfId="0" applyFont="1" applyBorder="1" applyAlignment="1">
      <alignment horizontal="left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9" fillId="0" borderId="5" xfId="0" applyFont="1" applyBorder="1"/>
    <xf numFmtId="0" fontId="22" fillId="0" borderId="6" xfId="0" applyFont="1" applyBorder="1" applyAlignment="1">
      <alignment horizontal="left"/>
    </xf>
    <xf numFmtId="0" fontId="34" fillId="0" borderId="7" xfId="0" applyFont="1" applyBorder="1" applyAlignment="1">
      <alignment horizontal="left"/>
    </xf>
    <xf numFmtId="0" fontId="35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 wrapText="1"/>
    </xf>
    <xf numFmtId="0" fontId="9" fillId="0" borderId="8" xfId="0" applyFont="1" applyBorder="1"/>
    <xf numFmtId="0" fontId="9" fillId="0" borderId="0" xfId="0" applyFont="1" applyAlignment="1">
      <alignment horizontal="left" wrapText="1"/>
    </xf>
    <xf numFmtId="0" fontId="26" fillId="0" borderId="1" xfId="0" applyFont="1" applyBorder="1" applyAlignment="1">
      <alignment horizontal="left"/>
    </xf>
    <xf numFmtId="0" fontId="22" fillId="0" borderId="4" xfId="0" applyFont="1" applyBorder="1" applyAlignment="1">
      <alignment horizontal="left" vertical="top"/>
    </xf>
    <xf numFmtId="0" fontId="32" fillId="0" borderId="0" xfId="0" applyFont="1"/>
    <xf numFmtId="0" fontId="32" fillId="0" borderId="5" xfId="0" applyFont="1" applyBorder="1"/>
    <xf numFmtId="0" fontId="29" fillId="4" borderId="13" xfId="0" applyFont="1" applyFill="1" applyBorder="1" applyAlignment="1">
      <alignment horizontal="center" wrapText="1"/>
    </xf>
    <xf numFmtId="166" fontId="17" fillId="0" borderId="9" xfId="0" applyNumberFormat="1" applyFont="1" applyBorder="1" applyAlignment="1">
      <alignment horizontal="right"/>
    </xf>
    <xf numFmtId="0" fontId="32" fillId="0" borderId="7" xfId="0" applyFont="1" applyBorder="1"/>
    <xf numFmtId="0" fontId="32" fillId="0" borderId="8" xfId="0" applyFont="1" applyBorder="1"/>
    <xf numFmtId="0" fontId="29" fillId="4" borderId="34" xfId="0" applyFont="1" applyFill="1" applyBorder="1" applyAlignment="1">
      <alignment horizontal="center" wrapText="1"/>
    </xf>
    <xf numFmtId="166" fontId="17" fillId="0" borderId="1" xfId="0" applyNumberFormat="1" applyFont="1" applyBorder="1" applyAlignment="1">
      <alignment horizontal="right"/>
    </xf>
    <xf numFmtId="0" fontId="24" fillId="0" borderId="3" xfId="0" applyFont="1" applyBorder="1"/>
    <xf numFmtId="0" fontId="29" fillId="0" borderId="2" xfId="0" applyFont="1" applyBorder="1" applyAlignment="1">
      <alignment horizontal="center" wrapText="1"/>
    </xf>
    <xf numFmtId="166" fontId="17" fillId="0" borderId="2" xfId="0" applyNumberFormat="1" applyFont="1" applyBorder="1" applyAlignment="1">
      <alignment horizontal="right"/>
    </xf>
    <xf numFmtId="0" fontId="24" fillId="0" borderId="2" xfId="0" applyFont="1" applyBorder="1"/>
    <xf numFmtId="0" fontId="21" fillId="2" borderId="9" xfId="0" applyFont="1" applyFill="1" applyBorder="1" applyAlignment="1">
      <alignment horizontal="left" vertical="center"/>
    </xf>
    <xf numFmtId="0" fontId="21" fillId="2" borderId="10" xfId="0" applyFont="1" applyFill="1" applyBorder="1" applyAlignment="1">
      <alignment horizontal="left" vertical="center"/>
    </xf>
    <xf numFmtId="0" fontId="7" fillId="2" borderId="10" xfId="0" applyFont="1" applyFill="1" applyBorder="1"/>
    <xf numFmtId="0" fontId="9" fillId="2" borderId="10" xfId="0" applyFont="1" applyFill="1" applyBorder="1"/>
    <xf numFmtId="0" fontId="17" fillId="2" borderId="10" xfId="0" applyFont="1" applyFill="1" applyBorder="1"/>
    <xf numFmtId="0" fontId="7" fillId="2" borderId="10" xfId="0" applyFont="1" applyFill="1" applyBorder="1" applyAlignment="1">
      <alignment horizontal="right"/>
    </xf>
    <xf numFmtId="0" fontId="2" fillId="2" borderId="11" xfId="3" applyFill="1" applyBorder="1" applyAlignment="1" applyProtection="1"/>
    <xf numFmtId="0" fontId="21" fillId="0" borderId="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7" fillId="0" borderId="0" xfId="0" applyFont="1"/>
    <xf numFmtId="0" fontId="7" fillId="0" borderId="4" xfId="0" applyFont="1" applyBorder="1" applyAlignment="1">
      <alignment horizontal="left"/>
    </xf>
    <xf numFmtId="0" fontId="9" fillId="0" borderId="0" xfId="0" applyFont="1" applyAlignment="1">
      <alignment horizontal="right"/>
    </xf>
    <xf numFmtId="167" fontId="7" fillId="0" borderId="13" xfId="2" applyNumberFormat="1" applyFont="1" applyFill="1" applyBorder="1" applyAlignment="1">
      <alignment horizontal="center"/>
    </xf>
    <xf numFmtId="0" fontId="17" fillId="0" borderId="4" xfId="0" applyFont="1" applyBorder="1" applyAlignment="1">
      <alignment horizontal="right"/>
    </xf>
    <xf numFmtId="0" fontId="17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44" fontId="21" fillId="0" borderId="0" xfId="2" applyFont="1" applyFill="1" applyBorder="1" applyAlignment="1">
      <alignment horizontal="center"/>
    </xf>
    <xf numFmtId="0" fontId="17" fillId="0" borderId="4" xfId="0" applyFont="1" applyBorder="1"/>
    <xf numFmtId="0" fontId="9" fillId="0" borderId="4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7" fillId="0" borderId="4" xfId="0" applyFont="1" applyBorder="1"/>
    <xf numFmtId="0" fontId="9" fillId="0" borderId="7" xfId="0" applyFont="1" applyBorder="1"/>
    <xf numFmtId="0" fontId="13" fillId="0" borderId="0" xfId="3" applyFont="1" applyBorder="1" applyAlignment="1" applyProtection="1">
      <alignment horizontal="right"/>
    </xf>
    <xf numFmtId="44" fontId="7" fillId="0" borderId="0" xfId="0" applyNumberFormat="1" applyFont="1"/>
    <xf numFmtId="44" fontId="26" fillId="0" borderId="8" xfId="2" applyFont="1" applyFill="1" applyBorder="1" applyAlignment="1">
      <alignment horizontal="center"/>
    </xf>
    <xf numFmtId="44" fontId="26" fillId="0" borderId="0" xfId="2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4" fontId="3" fillId="2" borderId="4" xfId="0" applyNumberFormat="1" applyFont="1" applyFill="1" applyBorder="1" applyAlignment="1">
      <alignment horizontal="center"/>
    </xf>
    <xf numFmtId="44" fontId="3" fillId="2" borderId="0" xfId="0" applyNumberFormat="1" applyFont="1" applyFill="1" applyAlignment="1">
      <alignment horizontal="center"/>
    </xf>
    <xf numFmtId="44" fontId="3" fillId="2" borderId="5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/>
    </xf>
    <xf numFmtId="0" fontId="15" fillId="5" borderId="10" xfId="3" applyFont="1" applyFill="1" applyBorder="1" applyAlignment="1" applyProtection="1">
      <alignment horizontal="left"/>
    </xf>
    <xf numFmtId="0" fontId="15" fillId="5" borderId="11" xfId="3" applyFont="1" applyFill="1" applyBorder="1" applyAlignment="1" applyProtection="1">
      <alignment horizontal="left"/>
    </xf>
    <xf numFmtId="0" fontId="2" fillId="0" borderId="6" xfId="3" applyFill="1" applyBorder="1" applyAlignment="1" applyProtection="1">
      <alignment horizontal="left"/>
    </xf>
    <xf numFmtId="0" fontId="2" fillId="0" borderId="7" xfId="3" applyFill="1" applyBorder="1" applyAlignment="1" applyProtection="1">
      <alignment horizontal="left"/>
    </xf>
    <xf numFmtId="0" fontId="36" fillId="0" borderId="2" xfId="3" applyFont="1" applyBorder="1" applyAlignment="1" applyProtection="1">
      <alignment horizontal="left"/>
    </xf>
    <xf numFmtId="0" fontId="36" fillId="0" borderId="3" xfId="3" applyFont="1" applyBorder="1" applyAlignment="1" applyProtection="1">
      <alignment horizontal="left"/>
    </xf>
    <xf numFmtId="0" fontId="17" fillId="2" borderId="13" xfId="0" applyFont="1" applyFill="1" applyBorder="1" applyAlignment="1">
      <alignment horizontal="center"/>
    </xf>
    <xf numFmtId="0" fontId="13" fillId="0" borderId="10" xfId="3" applyFont="1" applyBorder="1" applyAlignment="1" applyProtection="1">
      <alignment horizontal="right"/>
    </xf>
    <xf numFmtId="0" fontId="13" fillId="0" borderId="11" xfId="3" applyFont="1" applyBorder="1" applyAlignment="1" applyProtection="1">
      <alignment horizontal="right"/>
    </xf>
    <xf numFmtId="0" fontId="15" fillId="0" borderId="10" xfId="3" applyFont="1" applyBorder="1" applyAlignment="1" applyProtection="1">
      <alignment horizontal="left"/>
    </xf>
    <xf numFmtId="0" fontId="15" fillId="0" borderId="11" xfId="3" applyFont="1" applyBorder="1" applyAlignment="1" applyProtection="1">
      <alignment horizontal="left"/>
    </xf>
    <xf numFmtId="0" fontId="28" fillId="6" borderId="9" xfId="0" applyFont="1" applyFill="1" applyBorder="1"/>
    <xf numFmtId="0" fontId="7" fillId="6" borderId="10" xfId="0" applyFont="1" applyFill="1" applyBorder="1"/>
    <xf numFmtId="44" fontId="7" fillId="6" borderId="10" xfId="0" applyNumberFormat="1" applyFont="1" applyFill="1" applyBorder="1"/>
    <xf numFmtId="44" fontId="26" fillId="0" borderId="0" xfId="2" applyNumberFormat="1" applyFont="1" applyFill="1" applyBorder="1" applyAlignment="1">
      <alignment horizontal="center"/>
    </xf>
    <xf numFmtId="44" fontId="17" fillId="5" borderId="0" xfId="0" applyNumberFormat="1" applyFont="1" applyFill="1"/>
    <xf numFmtId="0" fontId="40" fillId="5" borderId="0" xfId="0" applyFont="1" applyFill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hertz.com/" TargetMode="External"/><Relationship Id="rId7" Type="http://schemas.openxmlformats.org/officeDocument/2006/relationships/hyperlink" Target="http://www.oregon.gov/das/Financial/Acctng/Documents/40.10.00.pdf" TargetMode="External"/><Relationship Id="rId2" Type="http://schemas.openxmlformats.org/officeDocument/2006/relationships/hyperlink" Target="http://www.enterprise.com/car_rental/deeplinkmap.do?bid=028&amp;refId=STATEOR" TargetMode="External"/><Relationship Id="rId1" Type="http://schemas.openxmlformats.org/officeDocument/2006/relationships/hyperlink" Target="http://oregon.gov/das/FleetPark/Pages/tools.aspx" TargetMode="External"/><Relationship Id="rId6" Type="http://schemas.openxmlformats.org/officeDocument/2006/relationships/hyperlink" Target="http://arcweb.sos.state.or.us/pages/rules/oars_100/oar_125/125_155.html" TargetMode="External"/><Relationship Id="rId5" Type="http://schemas.openxmlformats.org/officeDocument/2006/relationships/hyperlink" Target="http://www.oregon.gov/das/Financial/Acctng/Documents/40.10.00.pdf" TargetMode="External"/><Relationship Id="rId4" Type="http://schemas.openxmlformats.org/officeDocument/2006/relationships/hyperlink" Target="https://www.gsa.gov/travel/plan-book/transportation-airfare-pov-etc/privately-owned-vehicle-pov-mileage-reimbursement-rate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arcweb.sos.state.or.us/pages/rules/oars_100/oar_125/125_155.html" TargetMode="External"/><Relationship Id="rId3" Type="http://schemas.openxmlformats.org/officeDocument/2006/relationships/hyperlink" Target="http://www.hertz.com/" TargetMode="External"/><Relationship Id="rId7" Type="http://schemas.openxmlformats.org/officeDocument/2006/relationships/hyperlink" Target="http://www.oregon.gov/das/Financial/Acctng/Documents/40.10.00.pdf" TargetMode="External"/><Relationship Id="rId2" Type="http://schemas.openxmlformats.org/officeDocument/2006/relationships/hyperlink" Target="http://www.enterprise.com/car_rental/deeplinkmap.do?bid=028&amp;refId=STATEOR" TargetMode="External"/><Relationship Id="rId1" Type="http://schemas.openxmlformats.org/officeDocument/2006/relationships/hyperlink" Target="http://oregon.gov/das/FleetPark/Pages/tools.aspx" TargetMode="External"/><Relationship Id="rId6" Type="http://schemas.openxmlformats.org/officeDocument/2006/relationships/hyperlink" Target="https://www.gsa.gov/travel/plan-book/transportation-airfare-pov-etc/privately-owned-vehicle-pov-mileage-reimbursement-rates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://www.zipcar.com/oregon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wecar.com/" TargetMode="External"/><Relationship Id="rId9" Type="http://schemas.openxmlformats.org/officeDocument/2006/relationships/hyperlink" Target="http://www.oregon.gov/das/Financial/Acctng/Documents/40.10.00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arcweb.sos.state.or.us/pages/rules/oars_100/oar_125/125_155.html" TargetMode="External"/><Relationship Id="rId3" Type="http://schemas.openxmlformats.org/officeDocument/2006/relationships/hyperlink" Target="http://www.hertz.com/" TargetMode="External"/><Relationship Id="rId7" Type="http://schemas.openxmlformats.org/officeDocument/2006/relationships/hyperlink" Target="http://www.oregon.gov/das/Financial/Acctng/Documents/40.10.00.pdf" TargetMode="External"/><Relationship Id="rId2" Type="http://schemas.openxmlformats.org/officeDocument/2006/relationships/hyperlink" Target="http://www.enterprise.com/car_rental/deeplinkmap.do?bid=028&amp;refId=STATEOR" TargetMode="External"/><Relationship Id="rId1" Type="http://schemas.openxmlformats.org/officeDocument/2006/relationships/hyperlink" Target="http://oregon.gov/das/FleetPark/Pages/tools.aspx" TargetMode="External"/><Relationship Id="rId6" Type="http://schemas.openxmlformats.org/officeDocument/2006/relationships/hyperlink" Target="https://www.gsa.gov/travel/plan-book/transportation-airfare-pov-etc/privately-owned-vehicle-pov-mileage-reimbursement-rates" TargetMode="External"/><Relationship Id="rId11" Type="http://schemas.openxmlformats.org/officeDocument/2006/relationships/comments" Target="../comments2.xml"/><Relationship Id="rId5" Type="http://schemas.openxmlformats.org/officeDocument/2006/relationships/hyperlink" Target="http://www.zipcar.com/oregon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http://www.wecar.com/" TargetMode="External"/><Relationship Id="rId9" Type="http://schemas.openxmlformats.org/officeDocument/2006/relationships/hyperlink" Target="http://www.oregon.gov/das/Financial/Acctng/Documents/40.10.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6F186-6670-4773-8BA7-3CC7909546ED}">
  <sheetPr>
    <pageSetUpPr fitToPage="1"/>
  </sheetPr>
  <dimension ref="B1:W73"/>
  <sheetViews>
    <sheetView tabSelected="1" topLeftCell="A33" workbookViewId="0">
      <selection activeCell="I67" sqref="I67"/>
    </sheetView>
  </sheetViews>
  <sheetFormatPr defaultColWidth="9.28515625" defaultRowHeight="12.75" x14ac:dyDescent="0.2"/>
  <cols>
    <col min="1" max="1" width="1.7109375" style="10" customWidth="1"/>
    <col min="2" max="2" width="32.85546875" style="10" customWidth="1"/>
    <col min="3" max="3" width="1.7109375" style="10" customWidth="1"/>
    <col min="4" max="11" width="13" style="10" customWidth="1"/>
    <col min="12" max="16" width="9.28515625" style="10"/>
    <col min="17" max="26" width="0" style="10" hidden="1" customWidth="1"/>
    <col min="27" max="16384" width="9.28515625" style="10"/>
  </cols>
  <sheetData>
    <row r="1" spans="2:23" s="1" customFormat="1" ht="18.75" x14ac:dyDescent="0.3">
      <c r="B1" s="169" t="s">
        <v>0</v>
      </c>
      <c r="C1" s="170"/>
      <c r="D1" s="170"/>
      <c r="E1" s="170"/>
      <c r="F1" s="170"/>
      <c r="G1" s="170"/>
      <c r="H1" s="170"/>
      <c r="I1" s="170"/>
      <c r="J1" s="170"/>
      <c r="K1" s="171"/>
    </row>
    <row r="2" spans="2:23" s="1" customFormat="1" ht="18.75" x14ac:dyDescent="0.3">
      <c r="B2" s="172" t="s">
        <v>1</v>
      </c>
      <c r="C2" s="173"/>
      <c r="D2" s="173"/>
      <c r="E2" s="173"/>
      <c r="F2" s="173"/>
      <c r="G2" s="173"/>
      <c r="H2" s="173"/>
      <c r="I2" s="173"/>
      <c r="J2" s="173"/>
      <c r="K2" s="174"/>
    </row>
    <row r="3" spans="2:23" s="1" customFormat="1" ht="19.5" thickBot="1" x14ac:dyDescent="0.35">
      <c r="B3" s="2"/>
      <c r="C3" s="3"/>
      <c r="D3" s="3"/>
      <c r="E3" s="175" t="s">
        <v>2</v>
      </c>
      <c r="F3" s="175"/>
      <c r="G3" s="175"/>
      <c r="H3" s="175"/>
      <c r="I3" s="3"/>
      <c r="J3" s="4" t="s">
        <v>3</v>
      </c>
      <c r="K3" s="5">
        <v>44763</v>
      </c>
      <c r="S3" s="6" t="s">
        <v>4</v>
      </c>
    </row>
    <row r="4" spans="2:23" ht="13.5" thickBot="1" x14ac:dyDescent="0.25">
      <c r="B4" s="7"/>
      <c r="C4" s="7"/>
      <c r="D4" s="7"/>
      <c r="E4" s="7"/>
      <c r="F4" s="7"/>
      <c r="G4" s="7"/>
      <c r="H4" s="7"/>
      <c r="I4" s="7"/>
      <c r="J4" s="8"/>
      <c r="K4" s="9"/>
      <c r="S4" s="11" t="s">
        <v>5</v>
      </c>
      <c r="U4" s="12">
        <f>FLOOR(($D$9+17)/24,1)</f>
        <v>0</v>
      </c>
      <c r="V4" s="13">
        <f>U4+D6</f>
        <v>2</v>
      </c>
    </row>
    <row r="5" spans="2:23" s="11" customFormat="1" ht="21.75" customHeight="1" thickBot="1" x14ac:dyDescent="0.25">
      <c r="B5" s="176" t="s">
        <v>6</v>
      </c>
      <c r="C5" s="177"/>
      <c r="D5" s="178"/>
      <c r="E5" s="14"/>
      <c r="F5" s="14"/>
      <c r="G5" s="14"/>
      <c r="H5" s="14"/>
      <c r="I5" s="14"/>
      <c r="J5" s="14"/>
      <c r="K5" s="14"/>
      <c r="S5" s="10" t="s">
        <v>7</v>
      </c>
      <c r="T5" s="10"/>
      <c r="U5" s="10">
        <f>IF((D9-(U4*24))&gt;0,D9-(U4*24),0)</f>
        <v>0</v>
      </c>
      <c r="V5" s="10"/>
      <c r="W5" s="10"/>
    </row>
    <row r="6" spans="2:23" ht="15.75" thickBot="1" x14ac:dyDescent="0.3">
      <c r="B6" s="15"/>
      <c r="C6" s="16" t="s">
        <v>8</v>
      </c>
      <c r="D6" s="17">
        <v>2</v>
      </c>
      <c r="E6" s="18" t="s">
        <v>9</v>
      </c>
      <c r="F6" s="19"/>
      <c r="G6" s="20"/>
      <c r="H6" s="20"/>
      <c r="I6" s="20"/>
      <c r="J6" s="20"/>
      <c r="K6" s="21"/>
      <c r="S6" s="11"/>
      <c r="T6" s="11"/>
      <c r="U6" s="11"/>
      <c r="V6" s="11"/>
      <c r="W6" s="11"/>
    </row>
    <row r="7" spans="2:23" ht="15.75" thickBot="1" x14ac:dyDescent="0.3">
      <c r="B7" s="22"/>
      <c r="C7" s="16" t="s">
        <v>10</v>
      </c>
      <c r="D7" s="23">
        <v>300</v>
      </c>
      <c r="E7" s="18" t="s">
        <v>11</v>
      </c>
      <c r="F7" s="19"/>
      <c r="G7" s="24"/>
      <c r="H7" s="25" t="s">
        <v>12</v>
      </c>
      <c r="I7" s="179" t="s">
        <v>13</v>
      </c>
      <c r="J7" s="179"/>
      <c r="K7" s="180"/>
      <c r="S7" s="10" t="s">
        <v>14</v>
      </c>
      <c r="U7" s="26">
        <v>180</v>
      </c>
      <c r="V7" s="13">
        <f>IF(V4*U7&gt;0,V4*U7,180)</f>
        <v>360</v>
      </c>
      <c r="W7" s="13">
        <f>IF((D7-V7)&gt;0,(D7-V7),0)</f>
        <v>0</v>
      </c>
    </row>
    <row r="8" spans="2:23" ht="6.75" customHeight="1" thickBot="1" x14ac:dyDescent="0.3">
      <c r="B8" s="15"/>
      <c r="C8" s="27"/>
      <c r="D8" s="28"/>
      <c r="E8" s="29"/>
      <c r="F8" s="19"/>
      <c r="G8" s="19"/>
      <c r="H8" s="30"/>
      <c r="I8" s="19"/>
      <c r="J8" s="7"/>
      <c r="K8" s="21"/>
      <c r="U8" s="31"/>
    </row>
    <row r="9" spans="2:23" s="11" customFormat="1" ht="17.25" customHeight="1" thickBot="1" x14ac:dyDescent="0.3">
      <c r="B9" s="15"/>
      <c r="C9" s="32" t="s">
        <v>15</v>
      </c>
      <c r="D9" s="17"/>
      <c r="E9" s="18" t="s">
        <v>16</v>
      </c>
      <c r="F9" s="20"/>
      <c r="G9" s="20"/>
      <c r="H9" s="20"/>
      <c r="I9" s="20"/>
      <c r="J9" s="20"/>
      <c r="K9" s="33"/>
      <c r="S9" s="10"/>
      <c r="T9" s="10"/>
      <c r="U9" s="34"/>
      <c r="V9" s="10"/>
      <c r="W9" s="10"/>
    </row>
    <row r="10" spans="2:23" ht="15.75" thickBot="1" x14ac:dyDescent="0.3">
      <c r="B10" s="35"/>
      <c r="C10" s="35"/>
      <c r="D10" s="36"/>
      <c r="E10" s="37"/>
      <c r="F10" s="7"/>
      <c r="G10" s="7"/>
      <c r="H10" s="7"/>
      <c r="I10" s="7"/>
      <c r="J10" s="7"/>
      <c r="K10" s="7"/>
      <c r="S10" s="10" t="s">
        <v>17</v>
      </c>
      <c r="T10" s="11"/>
      <c r="U10" s="31">
        <v>0.45</v>
      </c>
      <c r="V10" s="11"/>
      <c r="W10" s="11">
        <f>W7*U10</f>
        <v>0</v>
      </c>
    </row>
    <row r="11" spans="2:23" ht="16.5" thickBot="1" x14ac:dyDescent="0.3">
      <c r="B11" s="166" t="s">
        <v>18</v>
      </c>
      <c r="C11" s="167"/>
      <c r="D11" s="167"/>
      <c r="E11" s="167"/>
      <c r="F11" s="167"/>
      <c r="G11" s="167"/>
      <c r="H11" s="167"/>
      <c r="I11" s="167"/>
      <c r="J11" s="167"/>
      <c r="K11" s="168"/>
    </row>
    <row r="12" spans="2:23" ht="27" customHeight="1" x14ac:dyDescent="0.2">
      <c r="B12" s="38"/>
      <c r="C12" s="39"/>
      <c r="D12" s="40" t="s">
        <v>19</v>
      </c>
      <c r="E12" s="40" t="s">
        <v>20</v>
      </c>
      <c r="F12" s="40" t="s">
        <v>21</v>
      </c>
      <c r="G12" s="40" t="s">
        <v>22</v>
      </c>
      <c r="H12" s="41" t="s">
        <v>23</v>
      </c>
      <c r="I12" s="41" t="s">
        <v>24</v>
      </c>
      <c r="J12" s="41" t="s">
        <v>25</v>
      </c>
      <c r="K12" s="42" t="s">
        <v>26</v>
      </c>
    </row>
    <row r="13" spans="2:23" s="48" customFormat="1" ht="12.75" customHeight="1" x14ac:dyDescent="0.2">
      <c r="B13" s="43" t="s">
        <v>27</v>
      </c>
      <c r="C13" s="44"/>
      <c r="D13" s="45">
        <v>50</v>
      </c>
      <c r="E13" s="46">
        <v>50</v>
      </c>
      <c r="F13" s="45">
        <v>70</v>
      </c>
      <c r="G13" s="45">
        <v>70</v>
      </c>
      <c r="H13" s="45">
        <v>70</v>
      </c>
      <c r="I13" s="45">
        <v>90</v>
      </c>
      <c r="J13" s="45">
        <v>50</v>
      </c>
      <c r="K13" s="47">
        <v>70</v>
      </c>
      <c r="S13" s="10"/>
      <c r="T13" s="10"/>
      <c r="U13" s="10"/>
      <c r="V13" s="10"/>
      <c r="W13" s="10"/>
    </row>
    <row r="14" spans="2:23" ht="12.75" customHeight="1" x14ac:dyDescent="0.2">
      <c r="B14" s="43" t="s">
        <v>28</v>
      </c>
      <c r="C14" s="49"/>
      <c r="D14" s="45">
        <f>D13*IF($D$6&gt;1,$D$6,1)</f>
        <v>100</v>
      </c>
      <c r="E14" s="45">
        <f t="shared" ref="E14:K14" si="0">E13*IF($D$6&gt;1,$D$6,1)</f>
        <v>100</v>
      </c>
      <c r="F14" s="45">
        <f t="shared" si="0"/>
        <v>140</v>
      </c>
      <c r="G14" s="45">
        <f t="shared" si="0"/>
        <v>140</v>
      </c>
      <c r="H14" s="45">
        <f t="shared" si="0"/>
        <v>140</v>
      </c>
      <c r="I14" s="45">
        <f t="shared" si="0"/>
        <v>180</v>
      </c>
      <c r="J14" s="45">
        <f t="shared" si="0"/>
        <v>100</v>
      </c>
      <c r="K14" s="47">
        <f t="shared" si="0"/>
        <v>140</v>
      </c>
      <c r="S14" s="48"/>
      <c r="T14" s="48"/>
      <c r="U14" s="48"/>
      <c r="V14" s="48"/>
      <c r="W14" s="48"/>
    </row>
    <row r="15" spans="2:23" ht="12.75" customHeight="1" x14ac:dyDescent="0.2">
      <c r="B15" s="43" t="s">
        <v>29</v>
      </c>
      <c r="C15" s="49"/>
      <c r="D15" s="46">
        <f>J61</f>
        <v>5.1100000000000003</v>
      </c>
      <c r="E15" s="46">
        <f>J61</f>
        <v>5.1100000000000003</v>
      </c>
      <c r="F15" s="45">
        <f>J61</f>
        <v>5.1100000000000003</v>
      </c>
      <c r="G15" s="50">
        <f>J61</f>
        <v>5.1100000000000003</v>
      </c>
      <c r="H15" s="45">
        <f>J61</f>
        <v>5.1100000000000003</v>
      </c>
      <c r="I15" s="45">
        <f>J61</f>
        <v>5.1100000000000003</v>
      </c>
      <c r="J15" s="45">
        <f>J61</f>
        <v>5.1100000000000003</v>
      </c>
      <c r="K15" s="47">
        <f>J61</f>
        <v>5.1100000000000003</v>
      </c>
    </row>
    <row r="16" spans="2:23" s="48" customFormat="1" ht="12.75" customHeight="1" x14ac:dyDescent="0.2">
      <c r="B16" s="43" t="s">
        <v>30</v>
      </c>
      <c r="C16" s="44"/>
      <c r="D16" s="51">
        <v>50</v>
      </c>
      <c r="E16" s="52">
        <v>28.4</v>
      </c>
      <c r="F16" s="51">
        <f>AVERAGE(23.6,22.6)</f>
        <v>23.1</v>
      </c>
      <c r="G16" s="51">
        <v>21</v>
      </c>
      <c r="H16" s="51">
        <v>19.899999999999999</v>
      </c>
      <c r="I16" s="51">
        <v>13.2</v>
      </c>
      <c r="J16" s="51">
        <v>12.9</v>
      </c>
      <c r="K16" s="53">
        <v>12.1</v>
      </c>
      <c r="S16" s="10"/>
      <c r="T16" s="10"/>
      <c r="U16" s="10"/>
      <c r="V16" s="10"/>
      <c r="W16" s="10"/>
    </row>
    <row r="17" spans="2:23" s="48" customFormat="1" ht="12.75" customHeight="1" x14ac:dyDescent="0.2">
      <c r="B17" s="43" t="s">
        <v>31</v>
      </c>
      <c r="C17" s="44"/>
      <c r="D17" s="45">
        <f t="shared" ref="D17:K17" si="1">SUM(D15/D16)</f>
        <v>0.10220000000000001</v>
      </c>
      <c r="E17" s="45">
        <f t="shared" si="1"/>
        <v>0.17992957746478874</v>
      </c>
      <c r="F17" s="45">
        <f t="shared" si="1"/>
        <v>0.22121212121212122</v>
      </c>
      <c r="G17" s="45">
        <f t="shared" si="1"/>
        <v>0.24333333333333335</v>
      </c>
      <c r="H17" s="45">
        <f t="shared" si="1"/>
        <v>0.25678391959798996</v>
      </c>
      <c r="I17" s="45">
        <f t="shared" si="1"/>
        <v>0.38712121212121214</v>
      </c>
      <c r="J17" s="45">
        <f t="shared" si="1"/>
        <v>0.39612403100775195</v>
      </c>
      <c r="K17" s="47">
        <f t="shared" si="1"/>
        <v>0.42231404958677687</v>
      </c>
    </row>
    <row r="18" spans="2:23" ht="12.75" customHeight="1" x14ac:dyDescent="0.2">
      <c r="B18" s="43" t="s">
        <v>32</v>
      </c>
      <c r="C18" s="49"/>
      <c r="D18" s="54">
        <f t="shared" ref="D18:K18" si="2">+D17*$D$7</f>
        <v>30.660000000000004</v>
      </c>
      <c r="E18" s="55">
        <f t="shared" si="2"/>
        <v>53.978873239436624</v>
      </c>
      <c r="F18" s="54">
        <f t="shared" si="2"/>
        <v>66.36363636363636</v>
      </c>
      <c r="G18" s="56">
        <f t="shared" si="2"/>
        <v>73</v>
      </c>
      <c r="H18" s="54">
        <f t="shared" si="2"/>
        <v>77.035175879396988</v>
      </c>
      <c r="I18" s="54">
        <f t="shared" si="2"/>
        <v>116.13636363636364</v>
      </c>
      <c r="J18" s="54">
        <f t="shared" si="2"/>
        <v>118.83720930232559</v>
      </c>
      <c r="K18" s="57">
        <f t="shared" si="2"/>
        <v>126.69421487603306</v>
      </c>
      <c r="S18" s="48"/>
      <c r="T18" s="48"/>
      <c r="U18" s="48"/>
      <c r="V18" s="48"/>
      <c r="W18" s="48"/>
    </row>
    <row r="19" spans="2:23" ht="12.75" customHeight="1" x14ac:dyDescent="0.2">
      <c r="B19" s="43" t="s">
        <v>33</v>
      </c>
      <c r="C19" s="49"/>
      <c r="D19" s="58">
        <f>IF($D$7&gt;0,D20/$D$7,0)</f>
        <v>0.43553333333333333</v>
      </c>
      <c r="E19" s="58">
        <f t="shared" ref="E19:K19" si="3">IF($D$7&gt;0,E20/$D$7,0)</f>
        <v>0.51326291079812203</v>
      </c>
      <c r="F19" s="58">
        <f t="shared" si="3"/>
        <v>0.68787878787878787</v>
      </c>
      <c r="G19" s="58">
        <f t="shared" si="3"/>
        <v>0.71</v>
      </c>
      <c r="H19" s="58">
        <f t="shared" si="3"/>
        <v>0.72345058626465664</v>
      </c>
      <c r="I19" s="58">
        <f t="shared" si="3"/>
        <v>0.98712121212121207</v>
      </c>
      <c r="J19" s="58">
        <f t="shared" si="3"/>
        <v>0.72945736434108532</v>
      </c>
      <c r="K19" s="59">
        <f t="shared" si="3"/>
        <v>0.88898071625344355</v>
      </c>
    </row>
    <row r="20" spans="2:23" s="66" customFormat="1" ht="16.5" customHeight="1" thickBot="1" x14ac:dyDescent="0.25">
      <c r="B20" s="60" t="s">
        <v>34</v>
      </c>
      <c r="C20" s="61"/>
      <c r="D20" s="62">
        <f t="shared" ref="D20:K20" si="4">+D14+D18</f>
        <v>130.66</v>
      </c>
      <c r="E20" s="63">
        <f t="shared" si="4"/>
        <v>153.97887323943661</v>
      </c>
      <c r="F20" s="62">
        <f t="shared" si="4"/>
        <v>206.36363636363637</v>
      </c>
      <c r="G20" s="64">
        <f t="shared" si="4"/>
        <v>213</v>
      </c>
      <c r="H20" s="62">
        <f t="shared" si="4"/>
        <v>217.035175879397</v>
      </c>
      <c r="I20" s="62">
        <f t="shared" si="4"/>
        <v>296.13636363636363</v>
      </c>
      <c r="J20" s="62">
        <f t="shared" si="4"/>
        <v>218.83720930232559</v>
      </c>
      <c r="K20" s="65">
        <f t="shared" si="4"/>
        <v>266.69421487603307</v>
      </c>
      <c r="S20" s="10"/>
      <c r="T20" s="10"/>
      <c r="U20" s="10"/>
      <c r="V20" s="10"/>
      <c r="W20" s="10"/>
    </row>
    <row r="21" spans="2:23" s="66" customFormat="1" ht="16.5" customHeight="1" thickBot="1" x14ac:dyDescent="0.25">
      <c r="B21" s="190" t="s">
        <v>104</v>
      </c>
      <c r="C21" s="191"/>
      <c r="D21" s="192">
        <f>'adding car pick up mileage'!T25</f>
        <v>22.5</v>
      </c>
      <c r="E21" s="192">
        <f>D21</f>
        <v>22.5</v>
      </c>
      <c r="F21" s="192">
        <f t="shared" ref="F21:G21" si="5">E21</f>
        <v>22.5</v>
      </c>
      <c r="G21" s="192">
        <f t="shared" si="5"/>
        <v>22.5</v>
      </c>
      <c r="H21" s="193"/>
      <c r="I21" s="165"/>
      <c r="J21" s="165"/>
      <c r="K21" s="165"/>
      <c r="S21" s="10"/>
      <c r="T21" s="10"/>
      <c r="U21" s="10"/>
      <c r="V21" s="10"/>
      <c r="W21" s="10"/>
    </row>
    <row r="22" spans="2:23" s="66" customFormat="1" ht="16.5" customHeight="1" thickBot="1" x14ac:dyDescent="0.25">
      <c r="B22" s="60" t="s">
        <v>99</v>
      </c>
      <c r="C22" s="7"/>
      <c r="D22" s="163">
        <f>SUM(D20:D21)</f>
        <v>153.16</v>
      </c>
      <c r="E22" s="163">
        <f t="shared" ref="E22:G22" si="6">SUM(E20:E21)</f>
        <v>176.47887323943661</v>
      </c>
      <c r="F22" s="163">
        <f t="shared" si="6"/>
        <v>228.86363636363637</v>
      </c>
      <c r="G22" s="163">
        <f t="shared" si="6"/>
        <v>235.5</v>
      </c>
      <c r="H22" s="165"/>
      <c r="I22" s="165"/>
      <c r="J22" s="165"/>
      <c r="K22" s="165"/>
      <c r="S22" s="10"/>
      <c r="T22" s="10"/>
      <c r="U22" s="10"/>
      <c r="V22" s="10"/>
      <c r="W22" s="10"/>
    </row>
    <row r="23" spans="2:23" ht="15.75" thickBo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S23" s="66"/>
      <c r="T23" s="66"/>
      <c r="U23" s="66"/>
      <c r="V23" s="66"/>
      <c r="W23" s="66"/>
    </row>
    <row r="24" spans="2:23" ht="16.5" thickBot="1" x14ac:dyDescent="0.3">
      <c r="B24" s="166" t="s">
        <v>35</v>
      </c>
      <c r="C24" s="167"/>
      <c r="D24" s="167"/>
      <c r="E24" s="167"/>
      <c r="F24" s="167"/>
      <c r="G24" s="167"/>
      <c r="H24" s="167"/>
      <c r="I24" s="167"/>
      <c r="J24" s="167"/>
      <c r="K24" s="168"/>
      <c r="S24" s="10" t="s">
        <v>98</v>
      </c>
    </row>
    <row r="25" spans="2:23" ht="25.5" x14ac:dyDescent="0.2">
      <c r="B25" s="38"/>
      <c r="C25" s="39"/>
      <c r="D25" s="40" t="s">
        <v>19</v>
      </c>
      <c r="E25" s="40" t="s">
        <v>20</v>
      </c>
      <c r="F25" s="40" t="s">
        <v>36</v>
      </c>
      <c r="G25" s="40" t="s">
        <v>37</v>
      </c>
      <c r="H25" s="41" t="s">
        <v>23</v>
      </c>
      <c r="I25" s="41" t="s">
        <v>24</v>
      </c>
      <c r="J25" s="41" t="s">
        <v>25</v>
      </c>
      <c r="K25" s="42" t="s">
        <v>26</v>
      </c>
      <c r="T25" s="10">
        <v>36</v>
      </c>
    </row>
    <row r="26" spans="2:23" x14ac:dyDescent="0.2">
      <c r="B26" s="43" t="s">
        <v>38</v>
      </c>
      <c r="C26" s="44"/>
      <c r="D26" s="45">
        <v>49</v>
      </c>
      <c r="E26" s="45">
        <v>35.450000000000003</v>
      </c>
      <c r="F26" s="45">
        <v>63.24</v>
      </c>
      <c r="G26" s="45">
        <v>86</v>
      </c>
      <c r="H26" s="45">
        <v>66.3</v>
      </c>
      <c r="I26" s="45">
        <v>124.44</v>
      </c>
      <c r="J26" s="45" t="s">
        <v>39</v>
      </c>
      <c r="K26" s="47">
        <v>76.5</v>
      </c>
      <c r="T26" s="10">
        <v>0.625</v>
      </c>
    </row>
    <row r="27" spans="2:23" x14ac:dyDescent="0.2">
      <c r="B27" s="43" t="s">
        <v>28</v>
      </c>
      <c r="C27" s="49"/>
      <c r="D27" s="45">
        <f>D$26*IF($D$6&gt;1,$D$6,1)</f>
        <v>98</v>
      </c>
      <c r="E27" s="45">
        <f t="shared" ref="E27:K27" si="7">E26*IF($D$6&gt;1,$D$6,1)</f>
        <v>70.900000000000006</v>
      </c>
      <c r="F27" s="45">
        <f t="shared" si="7"/>
        <v>126.48</v>
      </c>
      <c r="G27" s="45">
        <f t="shared" si="7"/>
        <v>172</v>
      </c>
      <c r="H27" s="45">
        <f t="shared" si="7"/>
        <v>132.6</v>
      </c>
      <c r="I27" s="45">
        <f t="shared" si="7"/>
        <v>248.88</v>
      </c>
      <c r="J27" s="45">
        <v>0</v>
      </c>
      <c r="K27" s="47">
        <f t="shared" si="7"/>
        <v>153</v>
      </c>
      <c r="T27" s="10">
        <f>SUM(T25*T26)</f>
        <v>22.5</v>
      </c>
    </row>
    <row r="28" spans="2:23" x14ac:dyDescent="0.2">
      <c r="B28" s="43" t="s">
        <v>40</v>
      </c>
      <c r="C28" s="49"/>
      <c r="D28" s="67">
        <f t="shared" ref="D28:K28" si="8">$J$62</f>
        <v>5.266</v>
      </c>
      <c r="E28" s="67">
        <f t="shared" si="8"/>
        <v>5.266</v>
      </c>
      <c r="F28" s="67">
        <f t="shared" si="8"/>
        <v>5.266</v>
      </c>
      <c r="G28" s="67">
        <f t="shared" si="8"/>
        <v>5.266</v>
      </c>
      <c r="H28" s="67">
        <f t="shared" si="8"/>
        <v>5.266</v>
      </c>
      <c r="I28" s="67">
        <f t="shared" si="8"/>
        <v>5.266</v>
      </c>
      <c r="J28" s="67">
        <f t="shared" si="8"/>
        <v>5.266</v>
      </c>
      <c r="K28" s="68">
        <f t="shared" si="8"/>
        <v>5.266</v>
      </c>
    </row>
    <row r="29" spans="2:23" x14ac:dyDescent="0.2">
      <c r="B29" s="43" t="s">
        <v>30</v>
      </c>
      <c r="C29" s="44"/>
      <c r="D29" s="69">
        <f t="shared" ref="D29:K29" si="9">D42</f>
        <v>50</v>
      </c>
      <c r="E29" s="69">
        <f t="shared" si="9"/>
        <v>29</v>
      </c>
      <c r="F29" s="69">
        <v>25</v>
      </c>
      <c r="G29" s="69">
        <v>18</v>
      </c>
      <c r="H29" s="69">
        <f t="shared" si="9"/>
        <v>23</v>
      </c>
      <c r="I29" s="69">
        <f t="shared" si="9"/>
        <v>16</v>
      </c>
      <c r="J29" s="69">
        <f t="shared" si="9"/>
        <v>16</v>
      </c>
      <c r="K29" s="70">
        <f t="shared" si="9"/>
        <v>17</v>
      </c>
    </row>
    <row r="30" spans="2:23" x14ac:dyDescent="0.2">
      <c r="B30" s="43" t="s">
        <v>31</v>
      </c>
      <c r="C30" s="44"/>
      <c r="D30" s="45">
        <f t="shared" ref="D30:K30" si="10">SUM(D28/D29)</f>
        <v>0.10532</v>
      </c>
      <c r="E30" s="45">
        <f t="shared" si="10"/>
        <v>0.18158620689655172</v>
      </c>
      <c r="F30" s="45">
        <f t="shared" si="10"/>
        <v>0.21063999999999999</v>
      </c>
      <c r="G30" s="45">
        <f t="shared" si="10"/>
        <v>0.29255555555555557</v>
      </c>
      <c r="H30" s="45">
        <f t="shared" si="10"/>
        <v>0.22895652173913045</v>
      </c>
      <c r="I30" s="45">
        <f t="shared" si="10"/>
        <v>0.329125</v>
      </c>
      <c r="J30" s="45">
        <f t="shared" si="10"/>
        <v>0.329125</v>
      </c>
      <c r="K30" s="47">
        <f t="shared" si="10"/>
        <v>0.30976470588235294</v>
      </c>
    </row>
    <row r="31" spans="2:23" x14ac:dyDescent="0.2">
      <c r="B31" s="43" t="s">
        <v>32</v>
      </c>
      <c r="C31" s="49"/>
      <c r="D31" s="54">
        <f t="shared" ref="D31:K31" si="11">+D30*$D$7</f>
        <v>31.596</v>
      </c>
      <c r="E31" s="55">
        <f t="shared" si="11"/>
        <v>54.475862068965519</v>
      </c>
      <c r="F31" s="54">
        <f t="shared" si="11"/>
        <v>63.192</v>
      </c>
      <c r="G31" s="56">
        <f t="shared" si="11"/>
        <v>87.766666666666666</v>
      </c>
      <c r="H31" s="54">
        <f t="shared" si="11"/>
        <v>68.686956521739134</v>
      </c>
      <c r="I31" s="54">
        <f t="shared" si="11"/>
        <v>98.737499999999997</v>
      </c>
      <c r="J31" s="54">
        <f t="shared" si="11"/>
        <v>98.737499999999997</v>
      </c>
      <c r="K31" s="57">
        <f t="shared" si="11"/>
        <v>92.92941176470589</v>
      </c>
    </row>
    <row r="32" spans="2:23" x14ac:dyDescent="0.2">
      <c r="B32" s="43" t="s">
        <v>33</v>
      </c>
      <c r="C32" s="49"/>
      <c r="D32" s="54">
        <f>IF($D$7&gt;0,D33/$D$7,0)</f>
        <v>0.43198666666666669</v>
      </c>
      <c r="E32" s="54">
        <f>IF($D$7&gt;0,E33/$D$7,0)</f>
        <v>0.41791954022988503</v>
      </c>
      <c r="F32" s="54">
        <f t="shared" ref="F32:K32" si="12">IF($D$7&gt;0,F33/$D$7,0)</f>
        <v>0.63224000000000002</v>
      </c>
      <c r="G32" s="54">
        <f t="shared" si="12"/>
        <v>0.86588888888888882</v>
      </c>
      <c r="H32" s="54">
        <f t="shared" si="12"/>
        <v>0.67095652173913034</v>
      </c>
      <c r="I32" s="54">
        <f t="shared" si="12"/>
        <v>1.158725</v>
      </c>
      <c r="J32" s="54">
        <f t="shared" si="12"/>
        <v>0.329125</v>
      </c>
      <c r="K32" s="57">
        <f t="shared" si="12"/>
        <v>0.81976470588235295</v>
      </c>
    </row>
    <row r="33" spans="2:11" ht="16.5" customHeight="1" thickBot="1" x14ac:dyDescent="0.25">
      <c r="B33" s="60" t="s">
        <v>34</v>
      </c>
      <c r="C33" s="71"/>
      <c r="D33" s="72">
        <f t="shared" ref="D33:K33" si="13">+D27+D31</f>
        <v>129.596</v>
      </c>
      <c r="E33" s="72">
        <f t="shared" si="13"/>
        <v>125.37586206896552</v>
      </c>
      <c r="F33" s="72">
        <f t="shared" si="13"/>
        <v>189.672</v>
      </c>
      <c r="G33" s="72">
        <f t="shared" si="13"/>
        <v>259.76666666666665</v>
      </c>
      <c r="H33" s="72">
        <f t="shared" si="13"/>
        <v>201.28695652173911</v>
      </c>
      <c r="I33" s="72">
        <f t="shared" si="13"/>
        <v>347.61750000000001</v>
      </c>
      <c r="J33" s="72">
        <f t="shared" si="13"/>
        <v>98.737499999999997</v>
      </c>
      <c r="K33" s="73">
        <f t="shared" si="13"/>
        <v>245.92941176470589</v>
      </c>
    </row>
    <row r="34" spans="2:11" ht="13.5" thickBot="1" x14ac:dyDescent="0.25">
      <c r="B34" s="190" t="s">
        <v>105</v>
      </c>
      <c r="C34" s="191"/>
      <c r="D34" s="192">
        <f>+$T27</f>
        <v>22.5</v>
      </c>
      <c r="E34" s="192">
        <f t="shared" ref="E34:G34" si="14">+$T27</f>
        <v>22.5</v>
      </c>
      <c r="F34" s="192">
        <f t="shared" si="14"/>
        <v>22.5</v>
      </c>
      <c r="G34" s="192">
        <f t="shared" si="14"/>
        <v>22.5</v>
      </c>
      <c r="H34" s="19"/>
      <c r="I34" s="19"/>
      <c r="J34" s="186" t="s">
        <v>41</v>
      </c>
      <c r="K34" s="187"/>
    </row>
    <row r="35" spans="2:11" ht="13.5" thickBot="1" x14ac:dyDescent="0.25">
      <c r="B35" s="60" t="s">
        <v>99</v>
      </c>
      <c r="C35" s="7"/>
      <c r="D35" s="163">
        <f>SUM(D33:D34)</f>
        <v>152.096</v>
      </c>
      <c r="E35" s="194">
        <f t="shared" ref="E35:G35" si="15">SUM(E33:E34)</f>
        <v>147.87586206896552</v>
      </c>
      <c r="F35" s="163">
        <f t="shared" si="15"/>
        <v>212.172</v>
      </c>
      <c r="G35" s="163">
        <f t="shared" si="15"/>
        <v>282.26666666666665</v>
      </c>
      <c r="H35" s="7"/>
      <c r="I35" s="7"/>
      <c r="J35" s="162"/>
      <c r="K35" s="162"/>
    </row>
    <row r="36" spans="2:11" ht="13.5" thickBot="1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2:11" ht="16.5" thickBot="1" x14ac:dyDescent="0.3">
      <c r="B37" s="166" t="s">
        <v>42</v>
      </c>
      <c r="C37" s="167"/>
      <c r="D37" s="167"/>
      <c r="E37" s="167"/>
      <c r="F37" s="167"/>
      <c r="G37" s="167"/>
      <c r="H37" s="167"/>
      <c r="I37" s="167"/>
      <c r="J37" s="167"/>
      <c r="K37" s="168"/>
    </row>
    <row r="38" spans="2:11" ht="25.5" x14ac:dyDescent="0.2">
      <c r="B38" s="38"/>
      <c r="C38" s="39"/>
      <c r="D38" s="40" t="s">
        <v>43</v>
      </c>
      <c r="E38" s="40" t="s">
        <v>20</v>
      </c>
      <c r="F38" s="40" t="s">
        <v>36</v>
      </c>
      <c r="G38" s="40" t="s">
        <v>37</v>
      </c>
      <c r="H38" s="41" t="s">
        <v>23</v>
      </c>
      <c r="I38" s="41" t="s">
        <v>24</v>
      </c>
      <c r="J38" s="41" t="s">
        <v>25</v>
      </c>
      <c r="K38" s="76" t="s">
        <v>26</v>
      </c>
    </row>
    <row r="39" spans="2:11" x14ac:dyDescent="0.2">
      <c r="B39" s="43" t="s">
        <v>44</v>
      </c>
      <c r="C39" s="44"/>
      <c r="D39" s="45">
        <v>45.9</v>
      </c>
      <c r="E39" s="45">
        <v>33.659999999999997</v>
      </c>
      <c r="F39" s="45">
        <v>55.85</v>
      </c>
      <c r="G39" s="45">
        <v>86.19</v>
      </c>
      <c r="H39" s="45">
        <v>55.08</v>
      </c>
      <c r="I39" s="45">
        <v>96.9</v>
      </c>
      <c r="J39" s="45" t="s">
        <v>39</v>
      </c>
      <c r="K39" s="47">
        <v>60.18</v>
      </c>
    </row>
    <row r="40" spans="2:11" x14ac:dyDescent="0.2">
      <c r="B40" s="43" t="s">
        <v>28</v>
      </c>
      <c r="C40" s="49"/>
      <c r="D40" s="45">
        <f>D$39*IF($D$6&gt;1,$D$6,1)</f>
        <v>91.8</v>
      </c>
      <c r="E40" s="45">
        <f>E39*IF($D$6&gt;1,$D$6,1)</f>
        <v>67.319999999999993</v>
      </c>
      <c r="F40" s="45">
        <f>F39*IF($D$6&gt;1,$D$6,1)</f>
        <v>111.7</v>
      </c>
      <c r="G40" s="45">
        <f>G39*IF($D$6&gt;1,$D$6,1)</f>
        <v>172.38</v>
      </c>
      <c r="H40" s="45">
        <f>H39*IF($D$6&gt;1,$D$6,1)</f>
        <v>110.16</v>
      </c>
      <c r="I40" s="45">
        <f>I39*IF($D$6&gt;1,$D$6,1)</f>
        <v>193.8</v>
      </c>
      <c r="J40" s="45">
        <v>0</v>
      </c>
      <c r="K40" s="47">
        <f>K39*IF($D$6&gt;1,$D$6,1)</f>
        <v>120.36</v>
      </c>
    </row>
    <row r="41" spans="2:11" hidden="1" x14ac:dyDescent="0.2">
      <c r="B41" s="43" t="s">
        <v>40</v>
      </c>
      <c r="C41" s="49"/>
      <c r="D41" s="45">
        <f t="shared" ref="D41:K41" si="16">$J$62</f>
        <v>5.266</v>
      </c>
      <c r="E41" s="45">
        <f t="shared" si="16"/>
        <v>5.266</v>
      </c>
      <c r="F41" s="45">
        <f t="shared" si="16"/>
        <v>5.266</v>
      </c>
      <c r="G41" s="45">
        <f t="shared" si="16"/>
        <v>5.266</v>
      </c>
      <c r="H41" s="45">
        <f t="shared" si="16"/>
        <v>5.266</v>
      </c>
      <c r="I41" s="45">
        <f t="shared" si="16"/>
        <v>5.266</v>
      </c>
      <c r="J41" s="45">
        <f t="shared" si="16"/>
        <v>5.266</v>
      </c>
      <c r="K41" s="47">
        <f t="shared" si="16"/>
        <v>5.266</v>
      </c>
    </row>
    <row r="42" spans="2:11" hidden="1" x14ac:dyDescent="0.2">
      <c r="B42" s="43" t="s">
        <v>30</v>
      </c>
      <c r="C42" s="44"/>
      <c r="D42" s="69">
        <v>50</v>
      </c>
      <c r="E42" s="69">
        <v>29</v>
      </c>
      <c r="F42" s="69">
        <v>24</v>
      </c>
      <c r="G42" s="69">
        <v>18</v>
      </c>
      <c r="H42" s="69">
        <v>23</v>
      </c>
      <c r="I42" s="69">
        <v>16</v>
      </c>
      <c r="J42" s="69">
        <v>16</v>
      </c>
      <c r="K42" s="70">
        <v>17</v>
      </c>
    </row>
    <row r="43" spans="2:11" hidden="1" x14ac:dyDescent="0.2">
      <c r="B43" s="43" t="s">
        <v>31</v>
      </c>
      <c r="C43" s="44"/>
      <c r="D43" s="45">
        <f t="shared" ref="D43:I43" si="17">SUM(D41/D42)</f>
        <v>0.10532</v>
      </c>
      <c r="E43" s="45">
        <f t="shared" si="17"/>
        <v>0.18158620689655172</v>
      </c>
      <c r="F43" s="45">
        <f t="shared" si="17"/>
        <v>0.21941666666666668</v>
      </c>
      <c r="G43" s="45">
        <f t="shared" si="17"/>
        <v>0.29255555555555557</v>
      </c>
      <c r="H43" s="45">
        <f t="shared" si="17"/>
        <v>0.22895652173913045</v>
      </c>
      <c r="I43" s="45">
        <f t="shared" si="17"/>
        <v>0.329125</v>
      </c>
      <c r="J43" s="45"/>
      <c r="K43" s="47">
        <f>SUM(K41/K42)</f>
        <v>0.30976470588235294</v>
      </c>
    </row>
    <row r="44" spans="2:11" hidden="1" x14ac:dyDescent="0.2">
      <c r="B44" s="43" t="s">
        <v>32</v>
      </c>
      <c r="C44" s="49"/>
      <c r="D44" s="54">
        <f t="shared" ref="D44:K44" si="18">+D43*$D$7</f>
        <v>31.596</v>
      </c>
      <c r="E44" s="55">
        <f t="shared" si="18"/>
        <v>54.475862068965519</v>
      </c>
      <c r="F44" s="54">
        <f t="shared" si="18"/>
        <v>65.825000000000003</v>
      </c>
      <c r="G44" s="56">
        <f t="shared" si="18"/>
        <v>87.766666666666666</v>
      </c>
      <c r="H44" s="54">
        <f t="shared" si="18"/>
        <v>68.686956521739134</v>
      </c>
      <c r="I44" s="54">
        <f t="shared" si="18"/>
        <v>98.737499999999997</v>
      </c>
      <c r="J44" s="54">
        <f t="shared" si="18"/>
        <v>0</v>
      </c>
      <c r="K44" s="57">
        <f t="shared" si="18"/>
        <v>92.92941176470589</v>
      </c>
    </row>
    <row r="45" spans="2:11" hidden="1" x14ac:dyDescent="0.2">
      <c r="B45" s="43" t="s">
        <v>33</v>
      </c>
      <c r="C45" s="49"/>
      <c r="D45" s="54">
        <f>IF($D$7&gt;0,D46/$D$7,0)</f>
        <v>0.41132000000000002</v>
      </c>
      <c r="E45" s="54">
        <f>IF($D$7&gt;0,E46/$D$7,0)</f>
        <v>0.40598620689655168</v>
      </c>
      <c r="F45" s="54">
        <f t="shared" ref="F45:K45" si="19">IF($D$7&gt;0,F46/$D$7,0)</f>
        <v>0.59175</v>
      </c>
      <c r="G45" s="54">
        <f t="shared" si="19"/>
        <v>0.86715555555555546</v>
      </c>
      <c r="H45" s="58">
        <f t="shared" si="19"/>
        <v>0.59615652173913036</v>
      </c>
      <c r="I45" s="54">
        <f t="shared" si="19"/>
        <v>0.97512500000000013</v>
      </c>
      <c r="J45" s="54">
        <f t="shared" si="19"/>
        <v>0</v>
      </c>
      <c r="K45" s="57">
        <f t="shared" si="19"/>
        <v>0.71096470588235305</v>
      </c>
    </row>
    <row r="46" spans="2:11" ht="16.5" customHeight="1" thickBot="1" x14ac:dyDescent="0.25">
      <c r="B46" s="60" t="s">
        <v>34</v>
      </c>
      <c r="C46" s="71"/>
      <c r="D46" s="72">
        <f t="shared" ref="D46:I46" si="20">+D40+D44</f>
        <v>123.396</v>
      </c>
      <c r="E46" s="72">
        <f t="shared" si="20"/>
        <v>121.7958620689655</v>
      </c>
      <c r="F46" s="72">
        <f t="shared" si="20"/>
        <v>177.52500000000001</v>
      </c>
      <c r="G46" s="72">
        <f t="shared" si="20"/>
        <v>260.14666666666665</v>
      </c>
      <c r="H46" s="72">
        <f t="shared" si="20"/>
        <v>178.84695652173912</v>
      </c>
      <c r="I46" s="72">
        <f t="shared" si="20"/>
        <v>292.53750000000002</v>
      </c>
      <c r="J46" s="72"/>
      <c r="K46" s="73">
        <f>+K40+K44</f>
        <v>213.2894117647059</v>
      </c>
    </row>
    <row r="47" spans="2:11" ht="16.5" customHeight="1" thickBot="1" x14ac:dyDescent="0.25">
      <c r="B47" s="190" t="s">
        <v>100</v>
      </c>
      <c r="C47" s="191"/>
      <c r="D47" s="192">
        <f>+$T27</f>
        <v>22.5</v>
      </c>
      <c r="E47" s="192">
        <f t="shared" ref="E47:G47" si="21">+$T27</f>
        <v>22.5</v>
      </c>
      <c r="F47" s="192">
        <f t="shared" si="21"/>
        <v>22.5</v>
      </c>
      <c r="G47" s="192">
        <f t="shared" si="21"/>
        <v>22.5</v>
      </c>
      <c r="H47" s="64"/>
      <c r="I47" s="64"/>
      <c r="J47" s="64"/>
      <c r="K47" s="164"/>
    </row>
    <row r="48" spans="2:11" ht="16.5" customHeight="1" thickBot="1" x14ac:dyDescent="0.25">
      <c r="B48" s="60" t="s">
        <v>99</v>
      </c>
      <c r="C48" s="7"/>
      <c r="D48" s="163">
        <f>SUM(D46:D47)</f>
        <v>145.89600000000002</v>
      </c>
      <c r="E48" s="163">
        <f t="shared" ref="E48:G48" si="22">SUM(E46:E47)</f>
        <v>144.2958620689655</v>
      </c>
      <c r="F48" s="163">
        <f t="shared" si="22"/>
        <v>200.02500000000001</v>
      </c>
      <c r="G48" s="163">
        <f t="shared" si="22"/>
        <v>282.64666666666665</v>
      </c>
      <c r="H48" s="64"/>
      <c r="I48" s="64"/>
      <c r="J48" s="64"/>
      <c r="K48" s="164"/>
    </row>
    <row r="49" spans="2:11" ht="13.5" thickBot="1" x14ac:dyDescent="0.25">
      <c r="B49" s="77" t="s">
        <v>45</v>
      </c>
      <c r="C49" s="19"/>
      <c r="D49" s="19"/>
      <c r="E49" s="19"/>
      <c r="F49" s="19"/>
      <c r="G49" s="19"/>
      <c r="H49" s="19"/>
      <c r="I49" s="19"/>
      <c r="J49" s="78"/>
      <c r="K49" s="75" t="s">
        <v>46</v>
      </c>
    </row>
    <row r="50" spans="2:11" x14ac:dyDescent="0.2"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2:11" ht="13.5" thickBot="1" x14ac:dyDescent="0.25">
      <c r="B51" s="98"/>
      <c r="C51" s="7"/>
      <c r="D51" s="7"/>
      <c r="E51" s="7"/>
      <c r="F51" s="7"/>
      <c r="G51" s="7"/>
      <c r="H51" s="7"/>
      <c r="I51" s="7"/>
      <c r="J51" s="7"/>
      <c r="K51" s="7"/>
    </row>
    <row r="52" spans="2:11" ht="16.5" thickBot="1" x14ac:dyDescent="0.3">
      <c r="B52" s="106" t="s">
        <v>76</v>
      </c>
      <c r="C52" s="107"/>
      <c r="D52" s="108"/>
      <c r="E52" s="108"/>
      <c r="F52" s="108"/>
      <c r="G52" s="109"/>
      <c r="H52" s="19"/>
      <c r="I52" s="108"/>
      <c r="J52" s="108"/>
      <c r="K52" s="110"/>
    </row>
    <row r="53" spans="2:11" ht="13.5" thickBot="1" x14ac:dyDescent="0.25">
      <c r="B53" s="98"/>
      <c r="C53" s="7"/>
      <c r="D53" s="7"/>
      <c r="E53" s="7"/>
      <c r="F53" s="7"/>
      <c r="G53" s="7"/>
      <c r="H53" s="7"/>
      <c r="I53" s="7"/>
      <c r="J53" s="7"/>
      <c r="K53" s="7"/>
    </row>
    <row r="54" spans="2:11" x14ac:dyDescent="0.2">
      <c r="B54" s="111" t="s">
        <v>77</v>
      </c>
      <c r="C54" s="93"/>
      <c r="D54" s="94"/>
      <c r="E54" s="93"/>
      <c r="F54" s="93"/>
      <c r="G54" s="112"/>
      <c r="H54" s="113"/>
      <c r="I54" s="113"/>
      <c r="J54" s="114"/>
      <c r="K54" s="115"/>
    </row>
    <row r="55" spans="2:11" x14ac:dyDescent="0.2">
      <c r="B55" s="116" t="s">
        <v>78</v>
      </c>
      <c r="C55" s="7"/>
      <c r="D55" s="7"/>
      <c r="E55" s="7"/>
      <c r="F55" s="7"/>
      <c r="G55" s="117"/>
      <c r="H55" s="118"/>
      <c r="I55" s="118"/>
      <c r="K55" s="119"/>
    </row>
    <row r="56" spans="2:11" x14ac:dyDescent="0.2">
      <c r="B56" s="116" t="s">
        <v>79</v>
      </c>
      <c r="C56" s="7"/>
      <c r="D56" s="7"/>
      <c r="E56" s="7"/>
      <c r="F56" s="7"/>
      <c r="G56" s="117"/>
      <c r="H56" s="118"/>
      <c r="I56" s="118"/>
      <c r="K56" s="119"/>
    </row>
    <row r="57" spans="2:11" ht="13.5" thickBot="1" x14ac:dyDescent="0.25">
      <c r="B57" s="120" t="s">
        <v>80</v>
      </c>
      <c r="C57" s="102"/>
      <c r="D57" s="102"/>
      <c r="E57" s="102"/>
      <c r="F57" s="102"/>
      <c r="G57" s="121"/>
      <c r="H57" s="122"/>
      <c r="I57" s="122"/>
      <c r="J57" s="123"/>
      <c r="K57" s="124"/>
    </row>
    <row r="58" spans="2:11" ht="13.5" thickBot="1" x14ac:dyDescent="0.25">
      <c r="B58" s="98"/>
      <c r="C58" s="7"/>
      <c r="D58" s="7"/>
      <c r="E58" s="7"/>
      <c r="F58" s="7"/>
      <c r="G58" s="117"/>
      <c r="H58" s="118"/>
      <c r="I58" s="118"/>
      <c r="J58" s="125"/>
    </row>
    <row r="59" spans="2:11" ht="12.95" customHeight="1" thickBot="1" x14ac:dyDescent="0.25">
      <c r="B59" s="126" t="s">
        <v>81</v>
      </c>
      <c r="C59" s="183" t="s">
        <v>82</v>
      </c>
      <c r="D59" s="183"/>
      <c r="E59" s="183"/>
      <c r="F59" s="183"/>
      <c r="G59" s="184"/>
      <c r="H59" s="7"/>
    </row>
    <row r="60" spans="2:11" ht="13.5" thickBot="1" x14ac:dyDescent="0.25">
      <c r="B60" s="116" t="s">
        <v>83</v>
      </c>
      <c r="C60" s="7"/>
      <c r="D60" s="7"/>
      <c r="E60" s="7"/>
      <c r="F60" s="7"/>
      <c r="G60" s="100"/>
      <c r="H60" s="7"/>
      <c r="I60" s="185" t="s">
        <v>84</v>
      </c>
      <c r="J60" s="185"/>
      <c r="K60" s="185"/>
    </row>
    <row r="61" spans="2:11" ht="24" thickBot="1" x14ac:dyDescent="0.3">
      <c r="B61" s="127" t="s">
        <v>85</v>
      </c>
      <c r="C61" s="128"/>
      <c r="D61" s="128"/>
      <c r="E61" s="128"/>
      <c r="F61" s="128"/>
      <c r="G61" s="129"/>
      <c r="H61" s="7"/>
      <c r="I61" s="130" t="s">
        <v>86</v>
      </c>
      <c r="J61" s="131">
        <v>5.1100000000000003</v>
      </c>
      <c r="K61" s="110" t="s">
        <v>87</v>
      </c>
    </row>
    <row r="62" spans="2:11" ht="24" thickBot="1" x14ac:dyDescent="0.3">
      <c r="B62" s="120"/>
      <c r="C62" s="132"/>
      <c r="D62" s="132"/>
      <c r="E62" s="132"/>
      <c r="F62" s="132"/>
      <c r="G62" s="133"/>
      <c r="H62" s="7"/>
      <c r="I62" s="134" t="s">
        <v>88</v>
      </c>
      <c r="J62" s="135">
        <v>5.266</v>
      </c>
      <c r="K62" s="136" t="s">
        <v>87</v>
      </c>
    </row>
    <row r="63" spans="2:11" ht="16.5" thickBot="1" x14ac:dyDescent="0.3">
      <c r="B63" s="98"/>
      <c r="C63" s="128"/>
      <c r="D63" s="128"/>
      <c r="E63" s="128"/>
      <c r="F63" s="128"/>
      <c r="G63" s="128"/>
      <c r="H63" s="7"/>
      <c r="I63" s="137"/>
      <c r="J63" s="138"/>
      <c r="K63" s="139"/>
    </row>
    <row r="64" spans="2:11" ht="16.5" thickBot="1" x14ac:dyDescent="0.3">
      <c r="B64" s="140" t="s">
        <v>89</v>
      </c>
      <c r="C64" s="141"/>
      <c r="D64" s="141"/>
      <c r="E64" s="142"/>
      <c r="F64" s="143"/>
      <c r="G64" s="144"/>
      <c r="H64" s="144"/>
      <c r="I64" s="144"/>
      <c r="J64" s="145" t="s">
        <v>90</v>
      </c>
      <c r="K64" s="146" t="s">
        <v>91</v>
      </c>
    </row>
    <row r="65" spans="2:12" ht="16.5" thickBot="1" x14ac:dyDescent="0.25">
      <c r="B65" s="147"/>
      <c r="C65" s="148"/>
      <c r="D65" s="148"/>
      <c r="E65" s="7"/>
      <c r="G65" s="149"/>
      <c r="H65" s="149"/>
      <c r="I65" s="7"/>
      <c r="J65" s="7"/>
      <c r="K65" s="119"/>
    </row>
    <row r="66" spans="2:12" ht="15" customHeight="1" thickBot="1" x14ac:dyDescent="0.25">
      <c r="B66" s="150"/>
      <c r="C66" s="7"/>
      <c r="E66" s="7"/>
      <c r="G66" s="151" t="s">
        <v>101</v>
      </c>
      <c r="H66" s="152">
        <v>0.65500000000000003</v>
      </c>
      <c r="I66" s="149" t="s">
        <v>103</v>
      </c>
      <c r="J66" s="7"/>
      <c r="K66" s="119"/>
    </row>
    <row r="67" spans="2:12" ht="15.75" x14ac:dyDescent="0.25">
      <c r="B67" s="153"/>
      <c r="C67" s="154"/>
      <c r="E67" s="128"/>
      <c r="G67" s="155" t="s">
        <v>93</v>
      </c>
      <c r="H67" s="156">
        <f>H66*$D$7</f>
        <v>196.5</v>
      </c>
      <c r="I67" s="195" t="str">
        <f>IF(H67&gt;E35, "Rent", "POV")</f>
        <v>Rent</v>
      </c>
      <c r="K67" s="119"/>
      <c r="L67" s="66"/>
    </row>
    <row r="68" spans="2:12" ht="15" customHeight="1" thickBot="1" x14ac:dyDescent="0.25">
      <c r="B68" s="157"/>
      <c r="C68" s="149"/>
      <c r="D68" s="149"/>
      <c r="E68" s="7"/>
      <c r="F68" s="7"/>
      <c r="G68" s="7"/>
      <c r="H68" s="7"/>
      <c r="I68" s="7"/>
      <c r="J68" s="7"/>
      <c r="K68" s="100"/>
    </row>
    <row r="69" spans="2:12" ht="15" customHeight="1" thickBot="1" x14ac:dyDescent="0.25">
      <c r="B69" s="150"/>
      <c r="C69" s="7"/>
      <c r="E69" s="7"/>
      <c r="G69" s="151" t="s">
        <v>102</v>
      </c>
      <c r="H69" s="152">
        <v>0.22</v>
      </c>
      <c r="I69" s="7"/>
      <c r="J69" s="7"/>
      <c r="K69" s="119"/>
    </row>
    <row r="70" spans="2:12" ht="15.75" x14ac:dyDescent="0.25">
      <c r="B70" s="153"/>
      <c r="C70" s="154"/>
      <c r="E70" s="128"/>
      <c r="G70" s="155" t="s">
        <v>93</v>
      </c>
      <c r="H70" s="156">
        <f>H69*$D$7</f>
        <v>66</v>
      </c>
      <c r="K70" s="119"/>
      <c r="L70" s="66"/>
    </row>
    <row r="71" spans="2:12" ht="6.75" customHeight="1" x14ac:dyDescent="0.2">
      <c r="B71" s="158"/>
      <c r="C71" s="159"/>
      <c r="D71" s="159"/>
      <c r="E71" s="159"/>
      <c r="F71" s="159"/>
      <c r="G71" s="159"/>
      <c r="H71" s="159"/>
      <c r="I71" s="159"/>
      <c r="J71" s="125"/>
      <c r="K71" s="119"/>
    </row>
    <row r="72" spans="2:12" x14ac:dyDescent="0.2">
      <c r="B72" s="160" t="s">
        <v>95</v>
      </c>
      <c r="K72" s="119"/>
    </row>
    <row r="73" spans="2:12" ht="15.75" thickBot="1" x14ac:dyDescent="0.3">
      <c r="B73" s="181" t="s">
        <v>96</v>
      </c>
      <c r="C73" s="182"/>
      <c r="D73" s="182"/>
      <c r="E73" s="182"/>
      <c r="F73" s="182"/>
      <c r="G73" s="161"/>
      <c r="H73" s="161"/>
      <c r="I73" s="161"/>
      <c r="J73" s="161"/>
      <c r="K73" s="124"/>
    </row>
  </sheetData>
  <mergeCells count="12">
    <mergeCell ref="B73:F73"/>
    <mergeCell ref="B37:K37"/>
    <mergeCell ref="C59:G59"/>
    <mergeCell ref="I60:K60"/>
    <mergeCell ref="B24:K24"/>
    <mergeCell ref="J34:K34"/>
    <mergeCell ref="B11:K11"/>
    <mergeCell ref="B1:K1"/>
    <mergeCell ref="B2:K2"/>
    <mergeCell ref="E3:H3"/>
    <mergeCell ref="B5:D5"/>
    <mergeCell ref="I7:K7"/>
  </mergeCells>
  <hyperlinks>
    <hyperlink ref="I7" r:id="rId1" display="http://oregon.gov/das/FleetPark/Pages/tools.aspx" xr:uid="{6160CBB9-98FB-4F17-92F1-27FE09C2C702}"/>
    <hyperlink ref="J34" r:id="rId2" xr:uid="{E583198A-2B46-4894-BA95-23E739B4B5C6}"/>
    <hyperlink ref="K49" r:id="rId3" display="http://www.hertz.com" xr:uid="{0C06EB4A-BC72-4044-8636-042072377427}"/>
    <hyperlink ref="K64" r:id="rId4" xr:uid="{AB13F309-7B14-4076-9A1F-FF6282759378}"/>
    <hyperlink ref="B73" r:id="rId5" xr:uid="{7C2A4C8E-F612-4FF9-BD2D-59D95F6A3FED}"/>
    <hyperlink ref="C59:G59" r:id="rId6" display="http://arcweb.sos.state.or.us/pages/rules/oars_100/oar_125/125_155.html" xr:uid="{6A12E67F-EBE5-44D3-A804-FC16FA8511B0}"/>
    <hyperlink ref="B73:F73" r:id="rId7" display="http://www.oregon.gov/das/Financial/Acctng/Documents/40.10.00.pdf" xr:uid="{20EA83C7-509A-4BD5-A3C6-670A6FC1A95E}"/>
  </hyperlinks>
  <pageMargins left="0.25" right="0.25" top="0.25" bottom="0.25" header="0.3" footer="0.3"/>
  <pageSetup scale="75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7F03D-EE49-4CA3-BB8C-9C418988276F}">
  <dimension ref="B1:W105"/>
  <sheetViews>
    <sheetView workbookViewId="0">
      <selection sqref="A1:XFD1048576"/>
    </sheetView>
  </sheetViews>
  <sheetFormatPr defaultColWidth="9.28515625" defaultRowHeight="12.75" x14ac:dyDescent="0.2"/>
  <cols>
    <col min="1" max="1" width="1.7109375" style="10" customWidth="1"/>
    <col min="2" max="2" width="26.28515625" style="10" customWidth="1"/>
    <col min="3" max="3" width="1.7109375" style="10" customWidth="1"/>
    <col min="4" max="11" width="13" style="10" customWidth="1"/>
    <col min="12" max="16384" width="9.28515625" style="10"/>
  </cols>
  <sheetData>
    <row r="1" spans="2:23" s="1" customFormat="1" ht="18.75" x14ac:dyDescent="0.3">
      <c r="B1" s="169" t="s">
        <v>0</v>
      </c>
      <c r="C1" s="170"/>
      <c r="D1" s="170"/>
      <c r="E1" s="170"/>
      <c r="F1" s="170"/>
      <c r="G1" s="170"/>
      <c r="H1" s="170"/>
      <c r="I1" s="170"/>
      <c r="J1" s="170"/>
      <c r="K1" s="171"/>
    </row>
    <row r="2" spans="2:23" s="1" customFormat="1" ht="18.75" x14ac:dyDescent="0.3">
      <c r="B2" s="172" t="s">
        <v>1</v>
      </c>
      <c r="C2" s="173"/>
      <c r="D2" s="173"/>
      <c r="E2" s="173"/>
      <c r="F2" s="173"/>
      <c r="G2" s="173"/>
      <c r="H2" s="173"/>
      <c r="I2" s="173"/>
      <c r="J2" s="173"/>
      <c r="K2" s="174"/>
    </row>
    <row r="3" spans="2:23" s="1" customFormat="1" ht="19.5" thickBot="1" x14ac:dyDescent="0.35">
      <c r="B3" s="2"/>
      <c r="C3" s="3"/>
      <c r="D3" s="3"/>
      <c r="E3" s="175" t="s">
        <v>2</v>
      </c>
      <c r="F3" s="175"/>
      <c r="G3" s="175"/>
      <c r="H3" s="175"/>
      <c r="I3" s="3"/>
      <c r="J3" s="4" t="s">
        <v>3</v>
      </c>
      <c r="K3" s="5">
        <v>44763</v>
      </c>
      <c r="S3" s="6" t="s">
        <v>4</v>
      </c>
    </row>
    <row r="4" spans="2:23" ht="13.5" thickBot="1" x14ac:dyDescent="0.25">
      <c r="B4" s="7"/>
      <c r="C4" s="7"/>
      <c r="D4" s="7"/>
      <c r="E4" s="7"/>
      <c r="F4" s="7"/>
      <c r="G4" s="7"/>
      <c r="H4" s="7"/>
      <c r="I4" s="7"/>
      <c r="J4" s="8"/>
      <c r="K4" s="9"/>
      <c r="S4" s="11" t="s">
        <v>5</v>
      </c>
      <c r="U4" s="12">
        <f>FLOOR(($D$9+17)/24,1)</f>
        <v>0</v>
      </c>
      <c r="V4" s="13">
        <f>U4+D6</f>
        <v>1</v>
      </c>
    </row>
    <row r="5" spans="2:23" s="11" customFormat="1" ht="21.75" customHeight="1" thickBot="1" x14ac:dyDescent="0.25">
      <c r="B5" s="176" t="s">
        <v>6</v>
      </c>
      <c r="C5" s="177"/>
      <c r="D5" s="178"/>
      <c r="E5" s="14"/>
      <c r="F5" s="14"/>
      <c r="G5" s="14"/>
      <c r="H5" s="14"/>
      <c r="I5" s="14"/>
      <c r="J5" s="14"/>
      <c r="K5" s="14"/>
      <c r="S5" s="10" t="s">
        <v>7</v>
      </c>
      <c r="T5" s="10"/>
      <c r="U5" s="10">
        <f>IF((D9-(U4*24))&gt;0,D9-(U4*24),0)</f>
        <v>0</v>
      </c>
      <c r="V5" s="10"/>
      <c r="W5" s="10"/>
    </row>
    <row r="6" spans="2:23" ht="15.75" thickBot="1" x14ac:dyDescent="0.3">
      <c r="B6" s="15"/>
      <c r="C6" s="16" t="s">
        <v>8</v>
      </c>
      <c r="D6" s="17">
        <v>1</v>
      </c>
      <c r="E6" s="18" t="s">
        <v>9</v>
      </c>
      <c r="F6" s="19"/>
      <c r="G6" s="20"/>
      <c r="H6" s="20"/>
      <c r="I6" s="20"/>
      <c r="J6" s="20"/>
      <c r="K6" s="21"/>
      <c r="S6" s="11"/>
      <c r="T6" s="11"/>
      <c r="U6" s="11"/>
      <c r="V6" s="11"/>
      <c r="W6" s="11"/>
    </row>
    <row r="7" spans="2:23" ht="15.75" thickBot="1" x14ac:dyDescent="0.3">
      <c r="B7" s="22"/>
      <c r="C7" s="16" t="s">
        <v>10</v>
      </c>
      <c r="D7" s="23">
        <v>300</v>
      </c>
      <c r="E7" s="18" t="s">
        <v>11</v>
      </c>
      <c r="F7" s="19"/>
      <c r="G7" s="24"/>
      <c r="H7" s="25" t="s">
        <v>12</v>
      </c>
      <c r="I7" s="188" t="s">
        <v>13</v>
      </c>
      <c r="J7" s="188"/>
      <c r="K7" s="189"/>
      <c r="S7" s="10" t="s">
        <v>14</v>
      </c>
      <c r="U7" s="26">
        <v>180</v>
      </c>
      <c r="V7" s="13">
        <f>IF(V4*U7&gt;0,V4*U7,180)</f>
        <v>180</v>
      </c>
      <c r="W7" s="13">
        <f>IF((D7-V7)&gt;0,(D7-V7),0)</f>
        <v>120</v>
      </c>
    </row>
    <row r="8" spans="2:23" ht="6.75" hidden="1" customHeight="1" x14ac:dyDescent="0.25">
      <c r="B8" s="15"/>
      <c r="C8" s="27"/>
      <c r="D8" s="28"/>
      <c r="E8" s="29"/>
      <c r="F8" s="19"/>
      <c r="G8" s="19"/>
      <c r="H8" s="30"/>
      <c r="I8" s="19"/>
      <c r="J8" s="7"/>
      <c r="K8" s="21"/>
      <c r="U8" s="31"/>
    </row>
    <row r="9" spans="2:23" s="11" customFormat="1" ht="17.25" hidden="1" customHeight="1" x14ac:dyDescent="0.25">
      <c r="B9" s="15"/>
      <c r="C9" s="32" t="s">
        <v>15</v>
      </c>
      <c r="D9" s="17"/>
      <c r="E9" s="18" t="s">
        <v>16</v>
      </c>
      <c r="F9" s="20"/>
      <c r="G9" s="20"/>
      <c r="H9" s="20"/>
      <c r="I9" s="20"/>
      <c r="J9" s="20"/>
      <c r="K9" s="33"/>
      <c r="S9" s="10"/>
      <c r="T9" s="10"/>
      <c r="U9" s="34"/>
      <c r="V9" s="10"/>
      <c r="W9" s="10"/>
    </row>
    <row r="10" spans="2:23" ht="15.75" thickBot="1" x14ac:dyDescent="0.3">
      <c r="B10" s="35"/>
      <c r="C10" s="35"/>
      <c r="D10" s="36"/>
      <c r="E10" s="37"/>
      <c r="F10" s="7"/>
      <c r="G10" s="7"/>
      <c r="H10" s="7"/>
      <c r="I10" s="7"/>
      <c r="J10" s="7"/>
      <c r="K10" s="7"/>
      <c r="S10" s="10" t="s">
        <v>17</v>
      </c>
      <c r="T10" s="11"/>
      <c r="U10" s="31">
        <v>0.45</v>
      </c>
      <c r="V10" s="11"/>
      <c r="W10" s="11">
        <f>W7*U10</f>
        <v>54</v>
      </c>
    </row>
    <row r="11" spans="2:23" ht="16.5" thickBot="1" x14ac:dyDescent="0.3">
      <c r="B11" s="166" t="s">
        <v>18</v>
      </c>
      <c r="C11" s="167"/>
      <c r="D11" s="167"/>
      <c r="E11" s="167"/>
      <c r="F11" s="167"/>
      <c r="G11" s="167"/>
      <c r="H11" s="167"/>
      <c r="I11" s="167"/>
      <c r="J11" s="167"/>
      <c r="K11" s="168"/>
    </row>
    <row r="12" spans="2:23" ht="27" customHeight="1" x14ac:dyDescent="0.2">
      <c r="B12" s="38"/>
      <c r="C12" s="39"/>
      <c r="D12" s="40" t="s">
        <v>19</v>
      </c>
      <c r="E12" s="40" t="s">
        <v>20</v>
      </c>
      <c r="F12" s="40" t="s">
        <v>21</v>
      </c>
      <c r="G12" s="40" t="s">
        <v>22</v>
      </c>
      <c r="H12" s="41" t="s">
        <v>23</v>
      </c>
      <c r="I12" s="41" t="s">
        <v>24</v>
      </c>
      <c r="J12" s="41" t="s">
        <v>25</v>
      </c>
      <c r="K12" s="42" t="s">
        <v>26</v>
      </c>
    </row>
    <row r="13" spans="2:23" s="48" customFormat="1" ht="12.75" customHeight="1" x14ac:dyDescent="0.2">
      <c r="B13" s="43" t="s">
        <v>27</v>
      </c>
      <c r="C13" s="44"/>
      <c r="D13" s="45">
        <v>50</v>
      </c>
      <c r="E13" s="46">
        <v>50</v>
      </c>
      <c r="F13" s="45">
        <v>70</v>
      </c>
      <c r="G13" s="45">
        <v>70</v>
      </c>
      <c r="H13" s="45">
        <v>70</v>
      </c>
      <c r="I13" s="45">
        <v>90</v>
      </c>
      <c r="J13" s="45">
        <v>50</v>
      </c>
      <c r="K13" s="47">
        <v>70</v>
      </c>
      <c r="S13" s="10"/>
      <c r="T13" s="10"/>
      <c r="U13" s="10"/>
      <c r="V13" s="10"/>
      <c r="W13" s="10"/>
    </row>
    <row r="14" spans="2:23" ht="12.75" customHeight="1" x14ac:dyDescent="0.2">
      <c r="B14" s="43" t="s">
        <v>28</v>
      </c>
      <c r="C14" s="49"/>
      <c r="D14" s="45">
        <f>D13*IF($D$6&gt;1,$D$6,1)</f>
        <v>50</v>
      </c>
      <c r="E14" s="45">
        <f t="shared" ref="E14:K14" si="0">E13*IF($D$6&gt;1,$D$6,1)</f>
        <v>50</v>
      </c>
      <c r="F14" s="45">
        <f t="shared" si="0"/>
        <v>70</v>
      </c>
      <c r="G14" s="45">
        <f t="shared" si="0"/>
        <v>70</v>
      </c>
      <c r="H14" s="45">
        <f t="shared" si="0"/>
        <v>70</v>
      </c>
      <c r="I14" s="45">
        <f t="shared" si="0"/>
        <v>90</v>
      </c>
      <c r="J14" s="45">
        <f t="shared" si="0"/>
        <v>50</v>
      </c>
      <c r="K14" s="47">
        <f t="shared" si="0"/>
        <v>70</v>
      </c>
      <c r="S14" s="48"/>
      <c r="T14" s="48"/>
      <c r="U14" s="48"/>
      <c r="V14" s="48"/>
      <c r="W14" s="48"/>
    </row>
    <row r="15" spans="2:23" ht="12.75" customHeight="1" x14ac:dyDescent="0.2">
      <c r="B15" s="43" t="s">
        <v>29</v>
      </c>
      <c r="C15" s="49"/>
      <c r="D15" s="46">
        <f>J93</f>
        <v>5.1100000000000003</v>
      </c>
      <c r="E15" s="46">
        <f>J93</f>
        <v>5.1100000000000003</v>
      </c>
      <c r="F15" s="45">
        <f>J93</f>
        <v>5.1100000000000003</v>
      </c>
      <c r="G15" s="50">
        <f>J93</f>
        <v>5.1100000000000003</v>
      </c>
      <c r="H15" s="45">
        <f>J93</f>
        <v>5.1100000000000003</v>
      </c>
      <c r="I15" s="45">
        <f>J93</f>
        <v>5.1100000000000003</v>
      </c>
      <c r="J15" s="45">
        <f>J93</f>
        <v>5.1100000000000003</v>
      </c>
      <c r="K15" s="47">
        <f>J93</f>
        <v>5.1100000000000003</v>
      </c>
    </row>
    <row r="16" spans="2:23" s="48" customFormat="1" ht="12.75" customHeight="1" x14ac:dyDescent="0.2">
      <c r="B16" s="43" t="s">
        <v>30</v>
      </c>
      <c r="C16" s="44"/>
      <c r="D16" s="51">
        <v>50</v>
      </c>
      <c r="E16" s="52">
        <v>28.4</v>
      </c>
      <c r="F16" s="51">
        <f>AVERAGE(23.6,22.6)</f>
        <v>23.1</v>
      </c>
      <c r="G16" s="51">
        <v>21</v>
      </c>
      <c r="H16" s="51">
        <v>19.899999999999999</v>
      </c>
      <c r="I16" s="51">
        <v>13.2</v>
      </c>
      <c r="J16" s="51">
        <v>12.9</v>
      </c>
      <c r="K16" s="53">
        <v>12.1</v>
      </c>
      <c r="S16" s="10"/>
      <c r="T16" s="10"/>
      <c r="U16" s="10"/>
      <c r="V16" s="10"/>
      <c r="W16" s="10"/>
    </row>
    <row r="17" spans="2:23" s="48" customFormat="1" ht="12.75" customHeight="1" x14ac:dyDescent="0.2">
      <c r="B17" s="43" t="s">
        <v>31</v>
      </c>
      <c r="C17" s="44"/>
      <c r="D17" s="45">
        <f t="shared" ref="D17:K17" si="1">SUM(D15/D16)</f>
        <v>0.10220000000000001</v>
      </c>
      <c r="E17" s="45">
        <f t="shared" si="1"/>
        <v>0.17992957746478874</v>
      </c>
      <c r="F17" s="45">
        <f t="shared" si="1"/>
        <v>0.22121212121212122</v>
      </c>
      <c r="G17" s="45">
        <f t="shared" si="1"/>
        <v>0.24333333333333335</v>
      </c>
      <c r="H17" s="45">
        <f t="shared" si="1"/>
        <v>0.25678391959798996</v>
      </c>
      <c r="I17" s="45">
        <f t="shared" si="1"/>
        <v>0.38712121212121214</v>
      </c>
      <c r="J17" s="45">
        <f t="shared" si="1"/>
        <v>0.39612403100775195</v>
      </c>
      <c r="K17" s="47">
        <f t="shared" si="1"/>
        <v>0.42231404958677687</v>
      </c>
    </row>
    <row r="18" spans="2:23" ht="12.75" customHeight="1" x14ac:dyDescent="0.2">
      <c r="B18" s="43" t="s">
        <v>32</v>
      </c>
      <c r="C18" s="49"/>
      <c r="D18" s="54">
        <f t="shared" ref="D18:K18" si="2">+D17*$D$7</f>
        <v>30.660000000000004</v>
      </c>
      <c r="E18" s="55">
        <f t="shared" si="2"/>
        <v>53.978873239436624</v>
      </c>
      <c r="F18" s="54">
        <f t="shared" si="2"/>
        <v>66.36363636363636</v>
      </c>
      <c r="G18" s="56">
        <f t="shared" si="2"/>
        <v>73</v>
      </c>
      <c r="H18" s="54">
        <f t="shared" si="2"/>
        <v>77.035175879396988</v>
      </c>
      <c r="I18" s="54">
        <f t="shared" si="2"/>
        <v>116.13636363636364</v>
      </c>
      <c r="J18" s="54">
        <f t="shared" si="2"/>
        <v>118.83720930232559</v>
      </c>
      <c r="K18" s="57">
        <f t="shared" si="2"/>
        <v>126.69421487603306</v>
      </c>
      <c r="S18" s="48"/>
      <c r="T18" s="48"/>
      <c r="U18" s="48"/>
      <c r="V18" s="48"/>
      <c r="W18" s="48"/>
    </row>
    <row r="19" spans="2:23" ht="12.75" customHeight="1" x14ac:dyDescent="0.2">
      <c r="B19" s="43" t="s">
        <v>33</v>
      </c>
      <c r="C19" s="49"/>
      <c r="D19" s="58">
        <f>IF($D$7&gt;0,D20/$D$7,0)</f>
        <v>0.26886666666666664</v>
      </c>
      <c r="E19" s="58">
        <f t="shared" ref="E19:K19" si="3">IF($D$7&gt;0,E20/$D$7,0)</f>
        <v>0.3465962441314554</v>
      </c>
      <c r="F19" s="58">
        <f t="shared" si="3"/>
        <v>0.45454545454545459</v>
      </c>
      <c r="G19" s="58">
        <f t="shared" si="3"/>
        <v>0.47666666666666668</v>
      </c>
      <c r="H19" s="58">
        <f t="shared" si="3"/>
        <v>0.49011725293132336</v>
      </c>
      <c r="I19" s="58">
        <f t="shared" si="3"/>
        <v>0.68712121212121213</v>
      </c>
      <c r="J19" s="58">
        <f t="shared" si="3"/>
        <v>0.56279069767441858</v>
      </c>
      <c r="K19" s="59">
        <f t="shared" si="3"/>
        <v>0.65564738292011027</v>
      </c>
    </row>
    <row r="20" spans="2:23" s="66" customFormat="1" ht="16.5" customHeight="1" thickBot="1" x14ac:dyDescent="0.25">
      <c r="B20" s="60" t="s">
        <v>34</v>
      </c>
      <c r="C20" s="61"/>
      <c r="D20" s="62">
        <f t="shared" ref="D20:K20" si="4">+D14+D18</f>
        <v>80.66</v>
      </c>
      <c r="E20" s="63">
        <f t="shared" si="4"/>
        <v>103.97887323943662</v>
      </c>
      <c r="F20" s="62">
        <f t="shared" si="4"/>
        <v>136.36363636363637</v>
      </c>
      <c r="G20" s="64">
        <f t="shared" si="4"/>
        <v>143</v>
      </c>
      <c r="H20" s="62">
        <f t="shared" si="4"/>
        <v>147.035175879397</v>
      </c>
      <c r="I20" s="62">
        <f t="shared" si="4"/>
        <v>206.13636363636363</v>
      </c>
      <c r="J20" s="62">
        <f t="shared" si="4"/>
        <v>168.83720930232559</v>
      </c>
      <c r="K20" s="65">
        <f t="shared" si="4"/>
        <v>196.69421487603307</v>
      </c>
      <c r="S20" s="10"/>
      <c r="T20" s="10"/>
      <c r="U20" s="10"/>
      <c r="V20" s="10"/>
      <c r="W20" s="10"/>
    </row>
    <row r="21" spans="2:23" ht="15.75" thickBo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S21" s="66"/>
      <c r="T21" s="66"/>
      <c r="U21" s="66"/>
      <c r="V21" s="66"/>
      <c r="W21" s="66"/>
    </row>
    <row r="22" spans="2:23" ht="16.5" thickBot="1" x14ac:dyDescent="0.3">
      <c r="B22" s="166" t="s">
        <v>35</v>
      </c>
      <c r="C22" s="167"/>
      <c r="D22" s="167"/>
      <c r="E22" s="167"/>
      <c r="F22" s="167"/>
      <c r="G22" s="167"/>
      <c r="H22" s="167"/>
      <c r="I22" s="167"/>
      <c r="J22" s="167"/>
      <c r="K22" s="168"/>
    </row>
    <row r="23" spans="2:23" ht="25.5" x14ac:dyDescent="0.2">
      <c r="B23" s="38"/>
      <c r="C23" s="39"/>
      <c r="D23" s="40" t="s">
        <v>19</v>
      </c>
      <c r="E23" s="40" t="s">
        <v>20</v>
      </c>
      <c r="F23" s="40" t="s">
        <v>36</v>
      </c>
      <c r="G23" s="40" t="s">
        <v>37</v>
      </c>
      <c r="H23" s="41" t="s">
        <v>23</v>
      </c>
      <c r="I23" s="41" t="s">
        <v>24</v>
      </c>
      <c r="J23" s="41" t="s">
        <v>25</v>
      </c>
      <c r="K23" s="42" t="s">
        <v>26</v>
      </c>
    </row>
    <row r="24" spans="2:23" x14ac:dyDescent="0.2">
      <c r="B24" s="43" t="s">
        <v>38</v>
      </c>
      <c r="C24" s="44"/>
      <c r="D24" s="45">
        <v>49</v>
      </c>
      <c r="E24" s="45">
        <v>35.450000000000003</v>
      </c>
      <c r="F24" s="45">
        <v>63.24</v>
      </c>
      <c r="G24" s="45">
        <v>86</v>
      </c>
      <c r="H24" s="45">
        <v>66.3</v>
      </c>
      <c r="I24" s="45">
        <v>124.44</v>
      </c>
      <c r="J24" s="45" t="s">
        <v>39</v>
      </c>
      <c r="K24" s="47">
        <v>76.5</v>
      </c>
    </row>
    <row r="25" spans="2:23" x14ac:dyDescent="0.2">
      <c r="B25" s="43" t="s">
        <v>28</v>
      </c>
      <c r="C25" s="49"/>
      <c r="D25" s="45">
        <f>D$24*IF($D$6&gt;1,$D$6,1)</f>
        <v>49</v>
      </c>
      <c r="E25" s="45">
        <f t="shared" ref="E25:K25" si="5">E24*IF($D$6&gt;1,$D$6,1)</f>
        <v>35.450000000000003</v>
      </c>
      <c r="F25" s="45">
        <f t="shared" si="5"/>
        <v>63.24</v>
      </c>
      <c r="G25" s="45">
        <f t="shared" si="5"/>
        <v>86</v>
      </c>
      <c r="H25" s="45">
        <f t="shared" si="5"/>
        <v>66.3</v>
      </c>
      <c r="I25" s="45">
        <f t="shared" si="5"/>
        <v>124.44</v>
      </c>
      <c r="J25" s="45">
        <v>0</v>
      </c>
      <c r="K25" s="47">
        <f t="shared" si="5"/>
        <v>76.5</v>
      </c>
    </row>
    <row r="26" spans="2:23" x14ac:dyDescent="0.2">
      <c r="B26" s="43" t="s">
        <v>40</v>
      </c>
      <c r="C26" s="49"/>
      <c r="D26" s="67">
        <f t="shared" ref="D26:K26" si="6">$J$94</f>
        <v>5.266</v>
      </c>
      <c r="E26" s="67">
        <f t="shared" si="6"/>
        <v>5.266</v>
      </c>
      <c r="F26" s="67">
        <f t="shared" si="6"/>
        <v>5.266</v>
      </c>
      <c r="G26" s="67">
        <f t="shared" si="6"/>
        <v>5.266</v>
      </c>
      <c r="H26" s="67">
        <f t="shared" si="6"/>
        <v>5.266</v>
      </c>
      <c r="I26" s="67">
        <f t="shared" si="6"/>
        <v>5.266</v>
      </c>
      <c r="J26" s="67">
        <f t="shared" si="6"/>
        <v>5.266</v>
      </c>
      <c r="K26" s="68">
        <f t="shared" si="6"/>
        <v>5.266</v>
      </c>
    </row>
    <row r="27" spans="2:23" x14ac:dyDescent="0.2">
      <c r="B27" s="43" t="s">
        <v>30</v>
      </c>
      <c r="C27" s="44"/>
      <c r="D27" s="69">
        <f t="shared" ref="D27:K27" si="7">D39</f>
        <v>50</v>
      </c>
      <c r="E27" s="69">
        <f t="shared" si="7"/>
        <v>29</v>
      </c>
      <c r="F27" s="69">
        <v>25</v>
      </c>
      <c r="G27" s="69">
        <v>18</v>
      </c>
      <c r="H27" s="69">
        <f t="shared" si="7"/>
        <v>23</v>
      </c>
      <c r="I27" s="69">
        <f t="shared" si="7"/>
        <v>16</v>
      </c>
      <c r="J27" s="69">
        <f t="shared" si="7"/>
        <v>16</v>
      </c>
      <c r="K27" s="70">
        <f t="shared" si="7"/>
        <v>17</v>
      </c>
    </row>
    <row r="28" spans="2:23" x14ac:dyDescent="0.2">
      <c r="B28" s="43" t="s">
        <v>31</v>
      </c>
      <c r="C28" s="44"/>
      <c r="D28" s="45">
        <f t="shared" ref="D28:K28" si="8">SUM(D26/D27)</f>
        <v>0.10532</v>
      </c>
      <c r="E28" s="45">
        <f t="shared" si="8"/>
        <v>0.18158620689655172</v>
      </c>
      <c r="F28" s="45">
        <f t="shared" si="8"/>
        <v>0.21063999999999999</v>
      </c>
      <c r="G28" s="45">
        <f t="shared" si="8"/>
        <v>0.29255555555555557</v>
      </c>
      <c r="H28" s="45">
        <f t="shared" si="8"/>
        <v>0.22895652173913045</v>
      </c>
      <c r="I28" s="45">
        <f t="shared" si="8"/>
        <v>0.329125</v>
      </c>
      <c r="J28" s="45">
        <f t="shared" si="8"/>
        <v>0.329125</v>
      </c>
      <c r="K28" s="47">
        <f t="shared" si="8"/>
        <v>0.30976470588235294</v>
      </c>
    </row>
    <row r="29" spans="2:23" x14ac:dyDescent="0.2">
      <c r="B29" s="43" t="s">
        <v>32</v>
      </c>
      <c r="C29" s="49"/>
      <c r="D29" s="54">
        <f t="shared" ref="D29:K29" si="9">+D28*$D$7</f>
        <v>31.596</v>
      </c>
      <c r="E29" s="55">
        <f t="shared" si="9"/>
        <v>54.475862068965519</v>
      </c>
      <c r="F29" s="54">
        <f t="shared" si="9"/>
        <v>63.192</v>
      </c>
      <c r="G29" s="56">
        <f t="shared" si="9"/>
        <v>87.766666666666666</v>
      </c>
      <c r="H29" s="54">
        <f t="shared" si="9"/>
        <v>68.686956521739134</v>
      </c>
      <c r="I29" s="54">
        <f t="shared" si="9"/>
        <v>98.737499999999997</v>
      </c>
      <c r="J29" s="54">
        <f t="shared" si="9"/>
        <v>98.737499999999997</v>
      </c>
      <c r="K29" s="57">
        <f t="shared" si="9"/>
        <v>92.92941176470589</v>
      </c>
    </row>
    <row r="30" spans="2:23" x14ac:dyDescent="0.2">
      <c r="B30" s="43" t="s">
        <v>33</v>
      </c>
      <c r="C30" s="49"/>
      <c r="D30" s="54">
        <f>IF($D$7&gt;0,D31/$D$7,0)</f>
        <v>0.26865333333333336</v>
      </c>
      <c r="E30" s="54">
        <f>IF($D$7&gt;0,E31/$D$7,0)</f>
        <v>0.29975287356321845</v>
      </c>
      <c r="F30" s="54">
        <f t="shared" ref="F30:K30" si="10">IF($D$7&gt;0,F31/$D$7,0)</f>
        <v>0.42143999999999998</v>
      </c>
      <c r="G30" s="54">
        <f t="shared" si="10"/>
        <v>0.57922222222222219</v>
      </c>
      <c r="H30" s="54">
        <f t="shared" si="10"/>
        <v>0.44995652173913042</v>
      </c>
      <c r="I30" s="54">
        <f t="shared" si="10"/>
        <v>0.74392500000000006</v>
      </c>
      <c r="J30" s="54">
        <f t="shared" si="10"/>
        <v>0.329125</v>
      </c>
      <c r="K30" s="57">
        <f t="shared" si="10"/>
        <v>0.56476470588235295</v>
      </c>
    </row>
    <row r="31" spans="2:23" ht="16.5" customHeight="1" thickBot="1" x14ac:dyDescent="0.25">
      <c r="B31" s="60" t="s">
        <v>34</v>
      </c>
      <c r="C31" s="71"/>
      <c r="D31" s="72">
        <f t="shared" ref="D31:K31" si="11">+D25+D29</f>
        <v>80.596000000000004</v>
      </c>
      <c r="E31" s="72">
        <f t="shared" si="11"/>
        <v>89.925862068965529</v>
      </c>
      <c r="F31" s="72">
        <f t="shared" si="11"/>
        <v>126.432</v>
      </c>
      <c r="G31" s="72">
        <f t="shared" si="11"/>
        <v>173.76666666666665</v>
      </c>
      <c r="H31" s="72">
        <f t="shared" si="11"/>
        <v>134.98695652173913</v>
      </c>
      <c r="I31" s="72">
        <f t="shared" si="11"/>
        <v>223.17750000000001</v>
      </c>
      <c r="J31" s="72">
        <f t="shared" si="11"/>
        <v>98.737499999999997</v>
      </c>
      <c r="K31" s="73">
        <f t="shared" si="11"/>
        <v>169.42941176470589</v>
      </c>
    </row>
    <row r="32" spans="2:23" ht="13.5" thickBot="1" x14ac:dyDescent="0.25">
      <c r="B32" s="74"/>
      <c r="C32" s="19"/>
      <c r="D32" s="19"/>
      <c r="E32" s="19"/>
      <c r="F32" s="19"/>
      <c r="G32" s="19"/>
      <c r="H32" s="19"/>
      <c r="I32" s="19"/>
      <c r="J32" s="186" t="s">
        <v>41</v>
      </c>
      <c r="K32" s="187"/>
    </row>
    <row r="33" spans="2:11" ht="13.5" thickBot="1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2:11" ht="16.5" thickBot="1" x14ac:dyDescent="0.3">
      <c r="B34" s="166" t="s">
        <v>42</v>
      </c>
      <c r="C34" s="167"/>
      <c r="D34" s="167"/>
      <c r="E34" s="167"/>
      <c r="F34" s="167"/>
      <c r="G34" s="167"/>
      <c r="H34" s="167"/>
      <c r="I34" s="167"/>
      <c r="J34" s="167"/>
      <c r="K34" s="168"/>
    </row>
    <row r="35" spans="2:11" ht="25.5" x14ac:dyDescent="0.2">
      <c r="B35" s="38"/>
      <c r="C35" s="39"/>
      <c r="D35" s="40" t="s">
        <v>43</v>
      </c>
      <c r="E35" s="40" t="s">
        <v>20</v>
      </c>
      <c r="F35" s="40" t="s">
        <v>36</v>
      </c>
      <c r="G35" s="40" t="s">
        <v>37</v>
      </c>
      <c r="H35" s="41" t="s">
        <v>23</v>
      </c>
      <c r="I35" s="41" t="s">
        <v>24</v>
      </c>
      <c r="J35" s="41" t="s">
        <v>25</v>
      </c>
      <c r="K35" s="76" t="s">
        <v>26</v>
      </c>
    </row>
    <row r="36" spans="2:11" x14ac:dyDescent="0.2">
      <c r="B36" s="43" t="s">
        <v>44</v>
      </c>
      <c r="C36" s="44"/>
      <c r="D36" s="45">
        <v>45.9</v>
      </c>
      <c r="E36" s="45">
        <v>33.659999999999997</v>
      </c>
      <c r="F36" s="45">
        <v>55.85</v>
      </c>
      <c r="G36" s="45">
        <v>86.19</v>
      </c>
      <c r="H36" s="45">
        <v>55.08</v>
      </c>
      <c r="I36" s="45">
        <v>96.9</v>
      </c>
      <c r="J36" s="45" t="s">
        <v>39</v>
      </c>
      <c r="K36" s="47">
        <v>60.18</v>
      </c>
    </row>
    <row r="37" spans="2:11" x14ac:dyDescent="0.2">
      <c r="B37" s="43" t="s">
        <v>28</v>
      </c>
      <c r="C37" s="49"/>
      <c r="D37" s="45">
        <f>D$36*IF($D$6&gt;1,$D$6,1)</f>
        <v>45.9</v>
      </c>
      <c r="E37" s="45">
        <f>E36*IF($D$6&gt;1,$D$6,1)</f>
        <v>33.659999999999997</v>
      </c>
      <c r="F37" s="45">
        <f>F36*IF($D$6&gt;1,$D$6,1)</f>
        <v>55.85</v>
      </c>
      <c r="G37" s="45">
        <f>G36*IF($D$6&gt;1,$D$6,1)</f>
        <v>86.19</v>
      </c>
      <c r="H37" s="45">
        <f>H36*IF($D$6&gt;1,$D$6,1)</f>
        <v>55.08</v>
      </c>
      <c r="I37" s="45">
        <f>I36*IF($D$6&gt;1,$D$6,1)</f>
        <v>96.9</v>
      </c>
      <c r="J37" s="45">
        <v>0</v>
      </c>
      <c r="K37" s="47">
        <f>K36*IF($D$6&gt;1,$D$6,1)</f>
        <v>60.18</v>
      </c>
    </row>
    <row r="38" spans="2:11" x14ac:dyDescent="0.2">
      <c r="B38" s="43" t="s">
        <v>40</v>
      </c>
      <c r="C38" s="49"/>
      <c r="D38" s="45">
        <f t="shared" ref="D38:I38" si="12">$J$94</f>
        <v>5.266</v>
      </c>
      <c r="E38" s="45">
        <f t="shared" si="12"/>
        <v>5.266</v>
      </c>
      <c r="F38" s="45">
        <f t="shared" si="12"/>
        <v>5.266</v>
      </c>
      <c r="G38" s="45">
        <f t="shared" si="12"/>
        <v>5.266</v>
      </c>
      <c r="H38" s="45">
        <f t="shared" si="12"/>
        <v>5.266</v>
      </c>
      <c r="I38" s="45">
        <f t="shared" si="12"/>
        <v>5.266</v>
      </c>
      <c r="J38" s="45">
        <f>$J$94</f>
        <v>5.266</v>
      </c>
      <c r="K38" s="47">
        <f>$J$94</f>
        <v>5.266</v>
      </c>
    </row>
    <row r="39" spans="2:11" x14ac:dyDescent="0.2">
      <c r="B39" s="43" t="s">
        <v>30</v>
      </c>
      <c r="C39" s="44"/>
      <c r="D39" s="69">
        <v>50</v>
      </c>
      <c r="E39" s="69">
        <v>29</v>
      </c>
      <c r="F39" s="69">
        <v>24</v>
      </c>
      <c r="G39" s="69">
        <v>18</v>
      </c>
      <c r="H39" s="69">
        <v>23</v>
      </c>
      <c r="I39" s="69">
        <v>16</v>
      </c>
      <c r="J39" s="69">
        <v>16</v>
      </c>
      <c r="K39" s="70">
        <v>17</v>
      </c>
    </row>
    <row r="40" spans="2:11" x14ac:dyDescent="0.2">
      <c r="B40" s="43" t="s">
        <v>31</v>
      </c>
      <c r="C40" s="44"/>
      <c r="D40" s="45">
        <f t="shared" ref="D40:I40" si="13">SUM(D38/D39)</f>
        <v>0.10532</v>
      </c>
      <c r="E40" s="45">
        <f t="shared" si="13"/>
        <v>0.18158620689655172</v>
      </c>
      <c r="F40" s="45">
        <f t="shared" si="13"/>
        <v>0.21941666666666668</v>
      </c>
      <c r="G40" s="45">
        <f t="shared" si="13"/>
        <v>0.29255555555555557</v>
      </c>
      <c r="H40" s="45">
        <f t="shared" si="13"/>
        <v>0.22895652173913045</v>
      </c>
      <c r="I40" s="45">
        <f t="shared" si="13"/>
        <v>0.329125</v>
      </c>
      <c r="J40" s="45"/>
      <c r="K40" s="47">
        <f>SUM(K38/K39)</f>
        <v>0.30976470588235294</v>
      </c>
    </row>
    <row r="41" spans="2:11" x14ac:dyDescent="0.2">
      <c r="B41" s="43" t="s">
        <v>32</v>
      </c>
      <c r="C41" s="49"/>
      <c r="D41" s="54">
        <f t="shared" ref="D41:K41" si="14">+D40*$D$7</f>
        <v>31.596</v>
      </c>
      <c r="E41" s="55">
        <f t="shared" si="14"/>
        <v>54.475862068965519</v>
      </c>
      <c r="F41" s="54">
        <f t="shared" si="14"/>
        <v>65.825000000000003</v>
      </c>
      <c r="G41" s="56">
        <f t="shared" si="14"/>
        <v>87.766666666666666</v>
      </c>
      <c r="H41" s="54">
        <f t="shared" si="14"/>
        <v>68.686956521739134</v>
      </c>
      <c r="I41" s="54">
        <f t="shared" si="14"/>
        <v>98.737499999999997</v>
      </c>
      <c r="J41" s="54">
        <f t="shared" si="14"/>
        <v>0</v>
      </c>
      <c r="K41" s="57">
        <f t="shared" si="14"/>
        <v>92.92941176470589</v>
      </c>
    </row>
    <row r="42" spans="2:11" x14ac:dyDescent="0.2">
      <c r="B42" s="43" t="s">
        <v>33</v>
      </c>
      <c r="C42" s="49"/>
      <c r="D42" s="54">
        <f>IF($D$7&gt;0,D43/$D$7,0)</f>
        <v>0.25831999999999999</v>
      </c>
      <c r="E42" s="54">
        <f>IF($D$7&gt;0,E43/$D$7,0)</f>
        <v>0.29378620689655172</v>
      </c>
      <c r="F42" s="54">
        <f t="shared" ref="F42:K42" si="15">IF($D$7&gt;0,F43/$D$7,0)</f>
        <v>0.40558333333333335</v>
      </c>
      <c r="G42" s="54">
        <f t="shared" si="15"/>
        <v>0.57985555555555546</v>
      </c>
      <c r="H42" s="58">
        <f t="shared" si="15"/>
        <v>0.41255652173913043</v>
      </c>
      <c r="I42" s="54">
        <f t="shared" si="15"/>
        <v>0.65212499999999995</v>
      </c>
      <c r="J42" s="54">
        <f t="shared" si="15"/>
        <v>0</v>
      </c>
      <c r="K42" s="57">
        <f t="shared" si="15"/>
        <v>0.51036470588235294</v>
      </c>
    </row>
    <row r="43" spans="2:11" ht="16.5" customHeight="1" thickBot="1" x14ac:dyDescent="0.25">
      <c r="B43" s="60" t="s">
        <v>34</v>
      </c>
      <c r="C43" s="71"/>
      <c r="D43" s="72">
        <f t="shared" ref="D43:I43" si="16">+D37+D41</f>
        <v>77.495999999999995</v>
      </c>
      <c r="E43" s="72">
        <f t="shared" si="16"/>
        <v>88.135862068965508</v>
      </c>
      <c r="F43" s="72">
        <f t="shared" si="16"/>
        <v>121.67500000000001</v>
      </c>
      <c r="G43" s="72">
        <f t="shared" si="16"/>
        <v>173.95666666666665</v>
      </c>
      <c r="H43" s="72">
        <f t="shared" si="16"/>
        <v>123.76695652173913</v>
      </c>
      <c r="I43" s="72">
        <f t="shared" si="16"/>
        <v>195.63749999999999</v>
      </c>
      <c r="J43" s="72"/>
      <c r="K43" s="73">
        <f>+K37+K41</f>
        <v>153.1094117647059</v>
      </c>
    </row>
    <row r="44" spans="2:11" ht="13.5" thickBot="1" x14ac:dyDescent="0.25">
      <c r="B44" s="77" t="s">
        <v>45</v>
      </c>
      <c r="C44" s="19"/>
      <c r="D44" s="19"/>
      <c r="E44" s="19"/>
      <c r="F44" s="19"/>
      <c r="G44" s="19"/>
      <c r="H44" s="19"/>
      <c r="I44" s="19"/>
      <c r="J44" s="78"/>
      <c r="K44" s="75" t="s">
        <v>46</v>
      </c>
    </row>
    <row r="45" spans="2:11" ht="13.5" thickBot="1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2:11" ht="16.5" hidden="1" thickBot="1" x14ac:dyDescent="0.3">
      <c r="B46" s="166" t="s">
        <v>47</v>
      </c>
      <c r="C46" s="167"/>
      <c r="D46" s="167"/>
      <c r="E46" s="167"/>
      <c r="F46" s="167"/>
      <c r="G46" s="167"/>
      <c r="H46" s="167"/>
      <c r="I46" s="167"/>
      <c r="J46" s="167"/>
      <c r="K46" s="168"/>
    </row>
    <row r="47" spans="2:11" ht="26.25" hidden="1" thickBot="1" x14ac:dyDescent="0.25">
      <c r="B47" s="79"/>
      <c r="C47" s="80"/>
      <c r="D47" s="81" t="s">
        <v>48</v>
      </c>
      <c r="E47" s="40" t="s">
        <v>20</v>
      </c>
      <c r="F47" s="40" t="s">
        <v>49</v>
      </c>
      <c r="G47" s="41" t="s">
        <v>50</v>
      </c>
      <c r="H47" s="41" t="s">
        <v>51</v>
      </c>
      <c r="I47" s="41" t="s">
        <v>23</v>
      </c>
      <c r="J47" s="41" t="s">
        <v>24</v>
      </c>
      <c r="K47" s="42" t="s">
        <v>25</v>
      </c>
    </row>
    <row r="48" spans="2:11" ht="13.5" hidden="1" thickBot="1" x14ac:dyDescent="0.25">
      <c r="B48" s="43" t="s">
        <v>52</v>
      </c>
      <c r="C48" s="44"/>
      <c r="D48" s="45">
        <v>92</v>
      </c>
      <c r="E48" s="45">
        <v>97.1</v>
      </c>
      <c r="F48" s="45">
        <v>102.22</v>
      </c>
      <c r="G48" s="45">
        <v>97.1</v>
      </c>
      <c r="H48" s="45">
        <v>132.9</v>
      </c>
      <c r="I48" s="45">
        <v>132.9</v>
      </c>
      <c r="J48" s="45">
        <v>235.1</v>
      </c>
      <c r="K48" s="47" t="s">
        <v>39</v>
      </c>
    </row>
    <row r="49" spans="2:11" ht="13.5" hidden="1" thickBot="1" x14ac:dyDescent="0.25">
      <c r="B49" s="43" t="s">
        <v>53</v>
      </c>
      <c r="C49" s="82"/>
      <c r="D49" s="45">
        <v>9.1999999999999993</v>
      </c>
      <c r="E49" s="45">
        <v>9.7100000000000009</v>
      </c>
      <c r="F49" s="45">
        <v>10.220000000000001</v>
      </c>
      <c r="G49" s="45">
        <v>9.7100000000000009</v>
      </c>
      <c r="H49" s="45">
        <v>13.29</v>
      </c>
      <c r="I49" s="45">
        <v>13.29</v>
      </c>
      <c r="J49" s="45">
        <v>23.51</v>
      </c>
      <c r="K49" s="47" t="s">
        <v>39</v>
      </c>
    </row>
    <row r="50" spans="2:11" ht="13.5" hidden="1" thickBot="1" x14ac:dyDescent="0.25">
      <c r="B50" s="43" t="s">
        <v>54</v>
      </c>
      <c r="C50" s="49"/>
      <c r="D50" s="45">
        <f t="shared" ref="D50:I50" si="17">D49*$U$5</f>
        <v>0</v>
      </c>
      <c r="E50" s="45">
        <f t="shared" si="17"/>
        <v>0</v>
      </c>
      <c r="F50" s="45">
        <f t="shared" si="17"/>
        <v>0</v>
      </c>
      <c r="G50" s="45">
        <f t="shared" si="17"/>
        <v>0</v>
      </c>
      <c r="H50" s="45">
        <f t="shared" si="17"/>
        <v>0</v>
      </c>
      <c r="I50" s="45">
        <f t="shared" si="17"/>
        <v>0</v>
      </c>
      <c r="J50" s="45" t="s">
        <v>55</v>
      </c>
      <c r="K50" s="47" t="s">
        <v>55</v>
      </c>
    </row>
    <row r="51" spans="2:11" ht="13.5" hidden="1" thickBot="1" x14ac:dyDescent="0.25">
      <c r="B51" s="43" t="s">
        <v>56</v>
      </c>
      <c r="C51" s="49"/>
      <c r="D51" s="45">
        <f t="shared" ref="D51:I51" si="18">D48*$V$4</f>
        <v>92</v>
      </c>
      <c r="E51" s="45">
        <f t="shared" si="18"/>
        <v>97.1</v>
      </c>
      <c r="F51" s="45">
        <f t="shared" si="18"/>
        <v>102.22</v>
      </c>
      <c r="G51" s="45">
        <f t="shared" si="18"/>
        <v>97.1</v>
      </c>
      <c r="H51" s="45">
        <f t="shared" si="18"/>
        <v>132.9</v>
      </c>
      <c r="I51" s="45">
        <f t="shared" si="18"/>
        <v>132.9</v>
      </c>
      <c r="J51" s="45" t="s">
        <v>55</v>
      </c>
      <c r="K51" s="47" t="s">
        <v>55</v>
      </c>
    </row>
    <row r="52" spans="2:11" ht="13.5" hidden="1" thickBot="1" x14ac:dyDescent="0.25">
      <c r="B52" s="43" t="s">
        <v>57</v>
      </c>
      <c r="C52" s="49"/>
      <c r="D52" s="45">
        <f>$W$10</f>
        <v>54</v>
      </c>
      <c r="E52" s="45">
        <f t="shared" ref="E52:K52" si="19">$W$10</f>
        <v>54</v>
      </c>
      <c r="F52" s="45">
        <f t="shared" si="19"/>
        <v>54</v>
      </c>
      <c r="G52" s="45">
        <f t="shared" si="19"/>
        <v>54</v>
      </c>
      <c r="H52" s="45">
        <f t="shared" si="19"/>
        <v>54</v>
      </c>
      <c r="I52" s="45">
        <f t="shared" si="19"/>
        <v>54</v>
      </c>
      <c r="J52" s="45" t="s">
        <v>55</v>
      </c>
      <c r="K52" s="47">
        <f t="shared" si="19"/>
        <v>54</v>
      </c>
    </row>
    <row r="53" spans="2:11" ht="13.5" hidden="1" thickBot="1" x14ac:dyDescent="0.25">
      <c r="B53" s="43" t="s">
        <v>29</v>
      </c>
      <c r="C53" s="49"/>
      <c r="D53" s="45" t="s">
        <v>58</v>
      </c>
      <c r="E53" s="45" t="s">
        <v>58</v>
      </c>
      <c r="F53" s="45" t="s">
        <v>58</v>
      </c>
      <c r="G53" s="45" t="s">
        <v>58</v>
      </c>
      <c r="H53" s="45" t="s">
        <v>58</v>
      </c>
      <c r="I53" s="45" t="s">
        <v>58</v>
      </c>
      <c r="J53" s="45" t="s">
        <v>58</v>
      </c>
      <c r="K53" s="47" t="s">
        <v>39</v>
      </c>
    </row>
    <row r="54" spans="2:11" ht="13.5" hidden="1" thickBot="1" x14ac:dyDescent="0.25">
      <c r="B54" s="43" t="s">
        <v>30</v>
      </c>
      <c r="C54" s="44"/>
      <c r="D54" s="83">
        <v>30</v>
      </c>
      <c r="E54" s="83">
        <v>25</v>
      </c>
      <c r="F54" s="83">
        <v>45</v>
      </c>
      <c r="G54" s="83">
        <v>20</v>
      </c>
      <c r="H54" s="83">
        <v>20</v>
      </c>
      <c r="I54" s="83"/>
      <c r="J54" s="84" t="s">
        <v>55</v>
      </c>
      <c r="K54" s="85" t="s">
        <v>55</v>
      </c>
    </row>
    <row r="55" spans="2:11" ht="13.5" hidden="1" thickBot="1" x14ac:dyDescent="0.25">
      <c r="B55" s="43" t="s">
        <v>31</v>
      </c>
      <c r="C55" s="44"/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7">
        <v>0</v>
      </c>
    </row>
    <row r="56" spans="2:11" ht="13.5" hidden="1" thickBot="1" x14ac:dyDescent="0.25">
      <c r="B56" s="43" t="s">
        <v>32</v>
      </c>
      <c r="C56" s="49"/>
      <c r="D56" s="45" t="s">
        <v>58</v>
      </c>
      <c r="E56" s="45" t="s">
        <v>58</v>
      </c>
      <c r="F56" s="45" t="s">
        <v>58</v>
      </c>
      <c r="G56" s="45" t="s">
        <v>58</v>
      </c>
      <c r="H56" s="45" t="s">
        <v>58</v>
      </c>
      <c r="I56" s="45" t="s">
        <v>58</v>
      </c>
      <c r="J56" s="45" t="s">
        <v>58</v>
      </c>
      <c r="K56" s="47" t="s">
        <v>39</v>
      </c>
    </row>
    <row r="57" spans="2:11" ht="13.5" hidden="1" thickBot="1" x14ac:dyDescent="0.25">
      <c r="B57" s="43" t="s">
        <v>33</v>
      </c>
      <c r="C57" s="49"/>
      <c r="D57" s="54">
        <f t="shared" ref="D57:I57" si="20">IF($D$7&gt;0,D58/$D$7,0)</f>
        <v>0.48666666666666669</v>
      </c>
      <c r="E57" s="54">
        <f t="shared" si="20"/>
        <v>0.5036666666666666</v>
      </c>
      <c r="F57" s="54">
        <f t="shared" si="20"/>
        <v>0.52073333333333338</v>
      </c>
      <c r="G57" s="54">
        <f t="shared" si="20"/>
        <v>0.5036666666666666</v>
      </c>
      <c r="H57" s="54">
        <f t="shared" si="20"/>
        <v>0.623</v>
      </c>
      <c r="I57" s="54">
        <f t="shared" si="20"/>
        <v>0.623</v>
      </c>
      <c r="J57" s="45" t="s">
        <v>55</v>
      </c>
      <c r="K57" s="57" t="s">
        <v>55</v>
      </c>
    </row>
    <row r="58" spans="2:11" ht="16.5" hidden="1" customHeight="1" x14ac:dyDescent="0.2">
      <c r="B58" s="86" t="s">
        <v>34</v>
      </c>
      <c r="C58" s="87"/>
      <c r="D58" s="72">
        <f t="shared" ref="D58:I58" si="21">D50+D51+D52</f>
        <v>146</v>
      </c>
      <c r="E58" s="88">
        <f t="shared" si="21"/>
        <v>151.1</v>
      </c>
      <c r="F58" s="88">
        <f t="shared" si="21"/>
        <v>156.22</v>
      </c>
      <c r="G58" s="88">
        <f t="shared" si="21"/>
        <v>151.1</v>
      </c>
      <c r="H58" s="88">
        <f t="shared" si="21"/>
        <v>186.9</v>
      </c>
      <c r="I58" s="88">
        <f t="shared" si="21"/>
        <v>186.9</v>
      </c>
      <c r="J58" s="89" t="s">
        <v>55</v>
      </c>
      <c r="K58" s="90" t="s">
        <v>55</v>
      </c>
    </row>
    <row r="59" spans="2:11" ht="15.75" hidden="1" thickBot="1" x14ac:dyDescent="0.3">
      <c r="B59" s="91" t="s">
        <v>59</v>
      </c>
      <c r="C59" s="92" t="s">
        <v>60</v>
      </c>
      <c r="D59" s="92"/>
      <c r="E59" s="93"/>
      <c r="F59" s="93"/>
      <c r="G59" s="93"/>
      <c r="H59" s="93"/>
      <c r="I59" s="94"/>
      <c r="J59" s="95"/>
      <c r="K59" s="96" t="s">
        <v>61</v>
      </c>
    </row>
    <row r="60" spans="2:11" ht="13.5" hidden="1" thickBot="1" x14ac:dyDescent="0.25">
      <c r="B60" s="97" t="s">
        <v>62</v>
      </c>
      <c r="C60" s="98"/>
      <c r="D60" s="7"/>
      <c r="E60" s="98"/>
      <c r="F60" s="98"/>
      <c r="G60" s="98"/>
      <c r="H60" s="98"/>
      <c r="I60" s="7"/>
      <c r="J60" s="99"/>
      <c r="K60" s="100"/>
    </row>
    <row r="61" spans="2:11" ht="13.5" hidden="1" thickBot="1" x14ac:dyDescent="0.25">
      <c r="B61" s="97" t="s">
        <v>63</v>
      </c>
      <c r="C61" s="7"/>
      <c r="D61" s="7"/>
      <c r="E61" s="7"/>
      <c r="F61" s="7"/>
      <c r="G61" s="7"/>
      <c r="H61" s="7"/>
      <c r="I61" s="7"/>
      <c r="J61" s="7"/>
      <c r="K61" s="100"/>
    </row>
    <row r="62" spans="2:11" ht="13.5" hidden="1" thickBot="1" x14ac:dyDescent="0.25">
      <c r="B62" s="97" t="s">
        <v>64</v>
      </c>
      <c r="C62" s="7"/>
      <c r="D62" s="7"/>
      <c r="E62" s="7"/>
      <c r="F62" s="7"/>
      <c r="G62" s="7"/>
      <c r="H62" s="7"/>
      <c r="I62" s="7"/>
      <c r="J62" s="7"/>
      <c r="K62" s="100"/>
    </row>
    <row r="63" spans="2:11" ht="13.5" hidden="1" thickBot="1" x14ac:dyDescent="0.25">
      <c r="B63" s="101" t="s">
        <v>65</v>
      </c>
      <c r="C63" s="102"/>
      <c r="D63" s="102"/>
      <c r="E63" s="102"/>
      <c r="F63" s="102"/>
      <c r="G63" s="102"/>
      <c r="H63" s="102"/>
      <c r="I63" s="102"/>
      <c r="J63" s="102"/>
      <c r="K63" s="103"/>
    </row>
    <row r="64" spans="2:11" ht="13.5" hidden="1" thickBot="1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2:11" ht="16.5" hidden="1" thickBot="1" x14ac:dyDescent="0.3">
      <c r="B65" s="166" t="s">
        <v>66</v>
      </c>
      <c r="C65" s="167"/>
      <c r="D65" s="167"/>
      <c r="E65" s="167"/>
      <c r="F65" s="167"/>
      <c r="G65" s="167"/>
      <c r="H65" s="167"/>
      <c r="I65" s="167"/>
      <c r="J65" s="167"/>
      <c r="K65" s="168"/>
    </row>
    <row r="66" spans="2:11" ht="26.25" hidden="1" thickBot="1" x14ac:dyDescent="0.25">
      <c r="B66" s="79"/>
      <c r="C66" s="80"/>
      <c r="D66" s="81" t="s">
        <v>48</v>
      </c>
      <c r="E66" s="40" t="s">
        <v>67</v>
      </c>
      <c r="F66" s="40" t="s">
        <v>68</v>
      </c>
      <c r="G66" s="41" t="s">
        <v>51</v>
      </c>
      <c r="H66" s="41" t="s">
        <v>23</v>
      </c>
      <c r="I66" s="41" t="s">
        <v>24</v>
      </c>
      <c r="J66" s="41" t="s">
        <v>25</v>
      </c>
      <c r="K66" s="42" t="s">
        <v>26</v>
      </c>
    </row>
    <row r="67" spans="2:11" ht="13.5" hidden="1" thickBot="1" x14ac:dyDescent="0.25">
      <c r="B67" s="43" t="s">
        <v>69</v>
      </c>
      <c r="C67" s="44"/>
      <c r="D67" s="45">
        <v>56</v>
      </c>
      <c r="E67" s="45">
        <v>56</v>
      </c>
      <c r="F67" s="45">
        <v>56</v>
      </c>
      <c r="G67" s="45">
        <v>56</v>
      </c>
      <c r="H67" s="45">
        <v>56</v>
      </c>
      <c r="I67" s="45" t="s">
        <v>39</v>
      </c>
      <c r="J67" s="45" t="s">
        <v>39</v>
      </c>
      <c r="K67" s="47">
        <v>56</v>
      </c>
    </row>
    <row r="68" spans="2:11" ht="13.5" hidden="1" thickBot="1" x14ac:dyDescent="0.25">
      <c r="B68" s="43" t="s">
        <v>70</v>
      </c>
      <c r="C68" s="82"/>
      <c r="D68" s="45">
        <v>8.75</v>
      </c>
      <c r="E68" s="45">
        <v>8.75</v>
      </c>
      <c r="F68" s="45">
        <v>8.75</v>
      </c>
      <c r="G68" s="45">
        <v>8.75</v>
      </c>
      <c r="H68" s="45">
        <v>8.75</v>
      </c>
      <c r="I68" s="45" t="s">
        <v>39</v>
      </c>
      <c r="J68" s="45" t="s">
        <v>39</v>
      </c>
      <c r="K68" s="47">
        <v>8.75</v>
      </c>
    </row>
    <row r="69" spans="2:11" ht="13.5" hidden="1" thickBot="1" x14ac:dyDescent="0.25">
      <c r="B69" s="43" t="s">
        <v>54</v>
      </c>
      <c r="C69" s="49"/>
      <c r="D69" s="45">
        <f>D68*$U$5</f>
        <v>0</v>
      </c>
      <c r="E69" s="45">
        <f>E68*$U$5</f>
        <v>0</v>
      </c>
      <c r="F69" s="45">
        <f>F68*$U$5</f>
        <v>0</v>
      </c>
      <c r="G69" s="45">
        <f>G68*$U$5</f>
        <v>0</v>
      </c>
      <c r="H69" s="45">
        <f>H68*$U$5</f>
        <v>0</v>
      </c>
      <c r="I69" s="45" t="s">
        <v>55</v>
      </c>
      <c r="J69" s="45" t="s">
        <v>55</v>
      </c>
      <c r="K69" s="47">
        <f>K68*$U$5</f>
        <v>0</v>
      </c>
    </row>
    <row r="70" spans="2:11" ht="13.5" hidden="1" thickBot="1" x14ac:dyDescent="0.25">
      <c r="B70" s="43" t="s">
        <v>56</v>
      </c>
      <c r="C70" s="49"/>
      <c r="D70" s="45">
        <f>D67*$V$4</f>
        <v>56</v>
      </c>
      <c r="E70" s="45">
        <f t="shared" ref="E70:K70" si="22">E67*$V$4</f>
        <v>56</v>
      </c>
      <c r="F70" s="45">
        <f t="shared" si="22"/>
        <v>56</v>
      </c>
      <c r="G70" s="45">
        <f t="shared" si="22"/>
        <v>56</v>
      </c>
      <c r="H70" s="45">
        <f t="shared" si="22"/>
        <v>56</v>
      </c>
      <c r="I70" s="45" t="s">
        <v>55</v>
      </c>
      <c r="J70" s="45" t="s">
        <v>55</v>
      </c>
      <c r="K70" s="47">
        <f t="shared" si="22"/>
        <v>56</v>
      </c>
    </row>
    <row r="71" spans="2:11" ht="13.5" hidden="1" thickBot="1" x14ac:dyDescent="0.25">
      <c r="B71" s="43" t="s">
        <v>57</v>
      </c>
      <c r="C71" s="49"/>
      <c r="D71" s="45">
        <f>$W$10</f>
        <v>54</v>
      </c>
      <c r="E71" s="45">
        <f t="shared" ref="E71:K71" si="23">$W$10</f>
        <v>54</v>
      </c>
      <c r="F71" s="45">
        <f t="shared" si="23"/>
        <v>54</v>
      </c>
      <c r="G71" s="45">
        <f t="shared" si="23"/>
        <v>54</v>
      </c>
      <c r="H71" s="45">
        <f t="shared" si="23"/>
        <v>54</v>
      </c>
      <c r="I71" s="45" t="s">
        <v>55</v>
      </c>
      <c r="J71" s="45" t="s">
        <v>55</v>
      </c>
      <c r="K71" s="47">
        <f t="shared" si="23"/>
        <v>54</v>
      </c>
    </row>
    <row r="72" spans="2:11" ht="13.5" hidden="1" thickBot="1" x14ac:dyDescent="0.25">
      <c r="B72" s="43" t="s">
        <v>29</v>
      </c>
      <c r="C72" s="49"/>
      <c r="D72" s="45" t="s">
        <v>58</v>
      </c>
      <c r="E72" s="45" t="s">
        <v>58</v>
      </c>
      <c r="F72" s="45" t="s">
        <v>58</v>
      </c>
      <c r="G72" s="45" t="s">
        <v>58</v>
      </c>
      <c r="H72" s="45" t="s">
        <v>58</v>
      </c>
      <c r="I72" s="45" t="s">
        <v>39</v>
      </c>
      <c r="J72" s="45" t="s">
        <v>39</v>
      </c>
      <c r="K72" s="47" t="s">
        <v>58</v>
      </c>
    </row>
    <row r="73" spans="2:11" ht="13.5" hidden="1" thickBot="1" x14ac:dyDescent="0.25">
      <c r="B73" s="43" t="s">
        <v>30</v>
      </c>
      <c r="C73" s="44"/>
      <c r="D73" s="83">
        <f>D39</f>
        <v>50</v>
      </c>
      <c r="E73" s="83">
        <f>MIN(D39:F39)</f>
        <v>24</v>
      </c>
      <c r="F73" s="83">
        <v>48</v>
      </c>
      <c r="G73" s="83">
        <f>G39</f>
        <v>18</v>
      </c>
      <c r="H73" s="83">
        <f>H39</f>
        <v>23</v>
      </c>
      <c r="I73" s="84">
        <f>I39</f>
        <v>16</v>
      </c>
      <c r="J73" s="84">
        <f>J39</f>
        <v>16</v>
      </c>
      <c r="K73" s="85">
        <f>K39</f>
        <v>17</v>
      </c>
    </row>
    <row r="74" spans="2:11" ht="13.5" hidden="1" thickBot="1" x14ac:dyDescent="0.25">
      <c r="B74" s="43" t="s">
        <v>31</v>
      </c>
      <c r="C74" s="44"/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7">
        <v>0</v>
      </c>
    </row>
    <row r="75" spans="2:11" ht="13.5" hidden="1" thickBot="1" x14ac:dyDescent="0.25">
      <c r="B75" s="43" t="s">
        <v>32</v>
      </c>
      <c r="C75" s="49"/>
      <c r="D75" s="45" t="s">
        <v>58</v>
      </c>
      <c r="E75" s="45" t="s">
        <v>58</v>
      </c>
      <c r="F75" s="45" t="s">
        <v>58</v>
      </c>
      <c r="G75" s="45" t="s">
        <v>58</v>
      </c>
      <c r="H75" s="45" t="s">
        <v>58</v>
      </c>
      <c r="I75" s="45" t="s">
        <v>39</v>
      </c>
      <c r="J75" s="45" t="s">
        <v>39</v>
      </c>
      <c r="K75" s="47" t="s">
        <v>58</v>
      </c>
    </row>
    <row r="76" spans="2:11" ht="13.5" hidden="1" thickBot="1" x14ac:dyDescent="0.25">
      <c r="B76" s="43" t="s">
        <v>33</v>
      </c>
      <c r="C76" s="49"/>
      <c r="D76" s="54">
        <f>IF($D$7&gt;0,D77/$D$7,0)</f>
        <v>0.36666666666666664</v>
      </c>
      <c r="E76" s="54">
        <f t="shared" ref="E76:K76" si="24">IF($D$7&gt;0,E77/$D$7,0)</f>
        <v>0.36666666666666664</v>
      </c>
      <c r="F76" s="54">
        <f t="shared" si="24"/>
        <v>0.36666666666666664</v>
      </c>
      <c r="G76" s="54">
        <f t="shared" si="24"/>
        <v>0.36666666666666664</v>
      </c>
      <c r="H76" s="54">
        <f t="shared" si="24"/>
        <v>0.36666666666666664</v>
      </c>
      <c r="I76" s="45" t="s">
        <v>55</v>
      </c>
      <c r="J76" s="45" t="s">
        <v>55</v>
      </c>
      <c r="K76" s="57">
        <f t="shared" si="24"/>
        <v>0.36666666666666664</v>
      </c>
    </row>
    <row r="77" spans="2:11" ht="16.5" hidden="1" customHeight="1" x14ac:dyDescent="0.2">
      <c r="B77" s="86" t="s">
        <v>34</v>
      </c>
      <c r="C77" s="61"/>
      <c r="D77" s="72">
        <f t="shared" ref="D77:K77" si="25">D69+D70+D71</f>
        <v>110</v>
      </c>
      <c r="E77" s="88">
        <f t="shared" si="25"/>
        <v>110</v>
      </c>
      <c r="F77" s="88">
        <f t="shared" si="25"/>
        <v>110</v>
      </c>
      <c r="G77" s="88">
        <f t="shared" si="25"/>
        <v>110</v>
      </c>
      <c r="H77" s="88">
        <f t="shared" si="25"/>
        <v>110</v>
      </c>
      <c r="I77" s="89" t="s">
        <v>55</v>
      </c>
      <c r="J77" s="89" t="s">
        <v>55</v>
      </c>
      <c r="K77" s="90">
        <f t="shared" si="25"/>
        <v>110</v>
      </c>
    </row>
    <row r="78" spans="2:11" ht="13.5" hidden="1" thickBot="1" x14ac:dyDescent="0.25">
      <c r="B78" s="91" t="s">
        <v>71</v>
      </c>
      <c r="C78" s="92" t="s">
        <v>60</v>
      </c>
      <c r="E78" s="93"/>
      <c r="F78" s="93"/>
      <c r="G78" s="93"/>
      <c r="H78" s="93"/>
      <c r="I78" s="94"/>
      <c r="J78" s="104"/>
      <c r="K78" s="105" t="s">
        <v>72</v>
      </c>
    </row>
    <row r="79" spans="2:11" ht="13.5" hidden="1" thickBot="1" x14ac:dyDescent="0.25">
      <c r="B79" s="97" t="s">
        <v>73</v>
      </c>
      <c r="C79" s="98"/>
      <c r="D79" s="7"/>
      <c r="E79" s="98"/>
      <c r="G79" s="98"/>
      <c r="H79" s="98"/>
      <c r="I79" s="7"/>
      <c r="J79" s="99"/>
      <c r="K79" s="100"/>
    </row>
    <row r="80" spans="2:11" ht="13.5" hidden="1" thickBot="1" x14ac:dyDescent="0.25">
      <c r="B80" s="97" t="s">
        <v>63</v>
      </c>
      <c r="C80" s="7"/>
      <c r="D80" s="7"/>
      <c r="E80" s="7"/>
      <c r="F80" s="7"/>
      <c r="G80" s="7"/>
      <c r="H80" s="7"/>
      <c r="I80" s="7"/>
      <c r="J80" s="7"/>
      <c r="K80" s="100"/>
    </row>
    <row r="81" spans="2:11" ht="13.5" hidden="1" thickBot="1" x14ac:dyDescent="0.25">
      <c r="B81" s="97" t="s">
        <v>74</v>
      </c>
      <c r="C81" s="7"/>
      <c r="D81" s="7"/>
      <c r="E81" s="7"/>
      <c r="F81" s="7"/>
      <c r="G81" s="7"/>
      <c r="H81" s="7"/>
      <c r="I81" s="7"/>
      <c r="J81" s="7"/>
      <c r="K81" s="100"/>
    </row>
    <row r="82" spans="2:11" ht="13.5" hidden="1" thickBot="1" x14ac:dyDescent="0.25">
      <c r="B82" s="101" t="s">
        <v>75</v>
      </c>
      <c r="C82" s="102"/>
      <c r="D82" s="102"/>
      <c r="E82" s="102"/>
      <c r="F82" s="102"/>
      <c r="G82" s="102"/>
      <c r="H82" s="102"/>
      <c r="I82" s="102"/>
      <c r="J82" s="102"/>
      <c r="K82" s="103"/>
    </row>
    <row r="83" spans="2:11" ht="13.5" hidden="1" thickBot="1" x14ac:dyDescent="0.25">
      <c r="B83" s="98"/>
      <c r="C83" s="7"/>
      <c r="D83" s="7"/>
      <c r="E83" s="7"/>
      <c r="F83" s="7"/>
      <c r="G83" s="7"/>
      <c r="H83" s="7"/>
      <c r="I83" s="7"/>
      <c r="J83" s="7"/>
      <c r="K83" s="7"/>
    </row>
    <row r="84" spans="2:11" ht="16.5" thickBot="1" x14ac:dyDescent="0.3">
      <c r="B84" s="106" t="s">
        <v>76</v>
      </c>
      <c r="C84" s="107"/>
      <c r="D84" s="108"/>
      <c r="E84" s="108"/>
      <c r="F84" s="108"/>
      <c r="G84" s="109"/>
      <c r="H84" s="19"/>
      <c r="I84" s="108"/>
      <c r="J84" s="108"/>
      <c r="K84" s="110"/>
    </row>
    <row r="85" spans="2:11" ht="13.5" thickBot="1" x14ac:dyDescent="0.25">
      <c r="B85" s="98"/>
      <c r="C85" s="7"/>
      <c r="D85" s="7"/>
      <c r="E85" s="7"/>
      <c r="F85" s="7"/>
      <c r="G85" s="7"/>
      <c r="H85" s="7"/>
      <c r="I85" s="7"/>
      <c r="J85" s="7"/>
      <c r="K85" s="7"/>
    </row>
    <row r="86" spans="2:11" x14ac:dyDescent="0.2">
      <c r="B86" s="111" t="s">
        <v>77</v>
      </c>
      <c r="C86" s="93"/>
      <c r="D86" s="94"/>
      <c r="E86" s="93"/>
      <c r="F86" s="93"/>
      <c r="G86" s="112"/>
      <c r="H86" s="113"/>
      <c r="I86" s="113"/>
      <c r="J86" s="114"/>
      <c r="K86" s="115"/>
    </row>
    <row r="87" spans="2:11" x14ac:dyDescent="0.2">
      <c r="B87" s="116" t="s">
        <v>78</v>
      </c>
      <c r="C87" s="7"/>
      <c r="D87" s="7"/>
      <c r="E87" s="7"/>
      <c r="F87" s="7"/>
      <c r="G87" s="117"/>
      <c r="H87" s="118"/>
      <c r="I87" s="118"/>
      <c r="K87" s="119"/>
    </row>
    <row r="88" spans="2:11" x14ac:dyDescent="0.2">
      <c r="B88" s="116" t="s">
        <v>79</v>
      </c>
      <c r="C88" s="7"/>
      <c r="D88" s="7"/>
      <c r="E88" s="7"/>
      <c r="F88" s="7"/>
      <c r="G88" s="117"/>
      <c r="H88" s="118"/>
      <c r="I88" s="118"/>
      <c r="K88" s="119"/>
    </row>
    <row r="89" spans="2:11" ht="13.5" thickBot="1" x14ac:dyDescent="0.25">
      <c r="B89" s="120" t="s">
        <v>80</v>
      </c>
      <c r="C89" s="102"/>
      <c r="D89" s="102"/>
      <c r="E89" s="102"/>
      <c r="F89" s="102"/>
      <c r="G89" s="121"/>
      <c r="H89" s="122"/>
      <c r="I89" s="122"/>
      <c r="J89" s="123"/>
      <c r="K89" s="124"/>
    </row>
    <row r="90" spans="2:11" ht="13.5" thickBot="1" x14ac:dyDescent="0.25">
      <c r="B90" s="98"/>
      <c r="C90" s="7"/>
      <c r="D90" s="7"/>
      <c r="E90" s="7"/>
      <c r="F90" s="7"/>
      <c r="G90" s="117"/>
      <c r="H90" s="118"/>
      <c r="I90" s="118"/>
      <c r="J90" s="125"/>
    </row>
    <row r="91" spans="2:11" ht="12.95" customHeight="1" thickBot="1" x14ac:dyDescent="0.25">
      <c r="B91" s="126" t="s">
        <v>81</v>
      </c>
      <c r="C91" s="183" t="s">
        <v>82</v>
      </c>
      <c r="D91" s="183"/>
      <c r="E91" s="183"/>
      <c r="F91" s="183"/>
      <c r="G91" s="184"/>
      <c r="H91" s="7"/>
    </row>
    <row r="92" spans="2:11" ht="13.5" thickBot="1" x14ac:dyDescent="0.25">
      <c r="B92" s="116" t="s">
        <v>83</v>
      </c>
      <c r="C92" s="7"/>
      <c r="D92" s="7"/>
      <c r="E92" s="7"/>
      <c r="F92" s="7"/>
      <c r="G92" s="100"/>
      <c r="H92" s="7"/>
      <c r="I92" s="185" t="s">
        <v>84</v>
      </c>
      <c r="J92" s="185"/>
      <c r="K92" s="185"/>
    </row>
    <row r="93" spans="2:11" ht="24" thickBot="1" x14ac:dyDescent="0.3">
      <c r="B93" s="127" t="s">
        <v>85</v>
      </c>
      <c r="C93" s="128"/>
      <c r="D93" s="128"/>
      <c r="E93" s="128"/>
      <c r="F93" s="128"/>
      <c r="G93" s="129"/>
      <c r="H93" s="7"/>
      <c r="I93" s="130" t="s">
        <v>86</v>
      </c>
      <c r="J93" s="131">
        <v>5.1100000000000003</v>
      </c>
      <c r="K93" s="110" t="s">
        <v>87</v>
      </c>
    </row>
    <row r="94" spans="2:11" ht="24" thickBot="1" x14ac:dyDescent="0.3">
      <c r="B94" s="120"/>
      <c r="C94" s="132"/>
      <c r="D94" s="132"/>
      <c r="E94" s="132"/>
      <c r="F94" s="132"/>
      <c r="G94" s="133"/>
      <c r="H94" s="7"/>
      <c r="I94" s="134" t="s">
        <v>88</v>
      </c>
      <c r="J94" s="135">
        <v>5.266</v>
      </c>
      <c r="K94" s="136" t="s">
        <v>87</v>
      </c>
    </row>
    <row r="95" spans="2:11" ht="16.5" thickBot="1" x14ac:dyDescent="0.3">
      <c r="B95" s="98"/>
      <c r="C95" s="128"/>
      <c r="D95" s="128"/>
      <c r="E95" s="128"/>
      <c r="F95" s="128"/>
      <c r="G95" s="128"/>
      <c r="H95" s="7"/>
      <c r="I95" s="137"/>
      <c r="J95" s="138"/>
      <c r="K95" s="139"/>
    </row>
    <row r="96" spans="2:11" ht="16.5" thickBot="1" x14ac:dyDescent="0.3">
      <c r="B96" s="140" t="s">
        <v>89</v>
      </c>
      <c r="C96" s="141"/>
      <c r="D96" s="141"/>
      <c r="E96" s="142"/>
      <c r="F96" s="143"/>
      <c r="G96" s="144"/>
      <c r="H96" s="144"/>
      <c r="I96" s="144"/>
      <c r="J96" s="145" t="s">
        <v>90</v>
      </c>
      <c r="K96" s="146" t="s">
        <v>91</v>
      </c>
    </row>
    <row r="97" spans="2:12" ht="16.5" thickBot="1" x14ac:dyDescent="0.25">
      <c r="B97" s="147"/>
      <c r="C97" s="148"/>
      <c r="D97" s="148"/>
      <c r="E97" s="7"/>
      <c r="G97" s="149"/>
      <c r="H97" s="149"/>
      <c r="I97" s="7"/>
      <c r="J97" s="7"/>
      <c r="K97" s="119"/>
    </row>
    <row r="98" spans="2:12" ht="15" customHeight="1" thickBot="1" x14ac:dyDescent="0.25">
      <c r="B98" s="150"/>
      <c r="C98" s="7"/>
      <c r="E98" s="7"/>
      <c r="G98" s="151" t="s">
        <v>92</v>
      </c>
      <c r="H98" s="152">
        <v>0.625</v>
      </c>
      <c r="I98" s="7"/>
      <c r="J98" s="7"/>
      <c r="K98" s="119"/>
    </row>
    <row r="99" spans="2:12" ht="15.75" x14ac:dyDescent="0.25">
      <c r="B99" s="153"/>
      <c r="C99" s="154"/>
      <c r="E99" s="128"/>
      <c r="G99" s="155" t="s">
        <v>93</v>
      </c>
      <c r="H99" s="156">
        <f>H98*$D$7</f>
        <v>187.5</v>
      </c>
      <c r="K99" s="119"/>
      <c r="L99" s="66"/>
    </row>
    <row r="100" spans="2:12" ht="15" customHeight="1" thickBot="1" x14ac:dyDescent="0.25">
      <c r="B100" s="157"/>
      <c r="C100" s="149"/>
      <c r="D100" s="149"/>
      <c r="E100" s="7"/>
      <c r="F100" s="7"/>
      <c r="G100" s="7"/>
      <c r="H100" s="7"/>
      <c r="I100" s="7"/>
      <c r="J100" s="7"/>
      <c r="K100" s="100"/>
    </row>
    <row r="101" spans="2:12" ht="15" customHeight="1" thickBot="1" x14ac:dyDescent="0.25">
      <c r="B101" s="150"/>
      <c r="C101" s="7"/>
      <c r="E101" s="7"/>
      <c r="G101" s="151" t="s">
        <v>94</v>
      </c>
      <c r="H101" s="152">
        <v>0.22</v>
      </c>
      <c r="I101" s="7"/>
      <c r="J101" s="7"/>
      <c r="K101" s="119"/>
    </row>
    <row r="102" spans="2:12" ht="15.75" x14ac:dyDescent="0.25">
      <c r="B102" s="153"/>
      <c r="C102" s="154"/>
      <c r="E102" s="128"/>
      <c r="G102" s="155" t="s">
        <v>93</v>
      </c>
      <c r="H102" s="156">
        <f>H101*$D$7</f>
        <v>66</v>
      </c>
      <c r="K102" s="119"/>
      <c r="L102" s="66"/>
    </row>
    <row r="103" spans="2:12" ht="6.75" customHeight="1" x14ac:dyDescent="0.2">
      <c r="B103" s="158"/>
      <c r="C103" s="159"/>
      <c r="D103" s="159"/>
      <c r="E103" s="159"/>
      <c r="F103" s="159"/>
      <c r="G103" s="159"/>
      <c r="H103" s="159"/>
      <c r="I103" s="159"/>
      <c r="J103" s="125"/>
      <c r="K103" s="119"/>
    </row>
    <row r="104" spans="2:12" x14ac:dyDescent="0.2">
      <c r="B104" s="160" t="s">
        <v>95</v>
      </c>
      <c r="K104" s="119"/>
    </row>
    <row r="105" spans="2:12" ht="15.75" thickBot="1" x14ac:dyDescent="0.3">
      <c r="B105" s="181" t="s">
        <v>96</v>
      </c>
      <c r="C105" s="182"/>
      <c r="D105" s="182"/>
      <c r="E105" s="182"/>
      <c r="F105" s="182"/>
      <c r="G105" s="161"/>
      <c r="H105" s="161"/>
      <c r="I105" s="161"/>
      <c r="J105" s="161"/>
      <c r="K105" s="124"/>
    </row>
  </sheetData>
  <mergeCells count="14">
    <mergeCell ref="I92:K92"/>
    <mergeCell ref="B105:F105"/>
    <mergeCell ref="B22:K22"/>
    <mergeCell ref="J32:K32"/>
    <mergeCell ref="B34:K34"/>
    <mergeCell ref="B46:K46"/>
    <mergeCell ref="B65:K65"/>
    <mergeCell ref="C91:G91"/>
    <mergeCell ref="B11:K11"/>
    <mergeCell ref="B1:K1"/>
    <mergeCell ref="B2:K2"/>
    <mergeCell ref="E3:H3"/>
    <mergeCell ref="B5:D5"/>
    <mergeCell ref="I7:K7"/>
  </mergeCells>
  <hyperlinks>
    <hyperlink ref="I7" r:id="rId1" display="http://oregon.gov/das/FleetPark/Pages/tools.aspx" xr:uid="{0A7EE295-A3BE-441C-810C-32C32B3E3A85}"/>
    <hyperlink ref="J32" r:id="rId2" xr:uid="{7CCA094B-12FC-43C2-A21C-71AC7518D98B}"/>
    <hyperlink ref="K44" r:id="rId3" display="http://www.hertz.com" xr:uid="{996602E9-8BF1-4FA6-8D28-272A30D4381F}"/>
    <hyperlink ref="K59" r:id="rId4" xr:uid="{CA7C58E4-5D35-4F96-90E2-D4A9EC8861CC}"/>
    <hyperlink ref="K78" r:id="rId5" display="http://www.zipcar.com/oregon" xr:uid="{586C481E-1262-43D0-AFCE-03FF6FAC447C}"/>
    <hyperlink ref="K96" r:id="rId6" xr:uid="{ECB300CF-0E93-449F-A45A-F58BCAD58510}"/>
    <hyperlink ref="B105" r:id="rId7" xr:uid="{A59FE927-C79F-4D69-9289-6662CF6F6CDD}"/>
    <hyperlink ref="C91:G91" r:id="rId8" display="http://arcweb.sos.state.or.us/pages/rules/oars_100/oar_125/125_155.html" xr:uid="{960A270A-FB59-4CCD-BC6E-9C0EB0C71770}"/>
    <hyperlink ref="B105:F105" r:id="rId9" display="http://www.oregon.gov/das/Financial/Acctng/Documents/40.10.00.pdf" xr:uid="{F46D175A-2AB4-4026-9E1C-68AD618C7C60}"/>
  </hyperlinks>
  <pageMargins left="0.7" right="0.7" top="0.75" bottom="0.75" header="0.3" footer="0.3"/>
  <legacy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F06C-D251-4223-BCA3-E8B84234B1E8}">
  <dimension ref="B1:W108"/>
  <sheetViews>
    <sheetView workbookViewId="0">
      <selection sqref="A1:XFD1048576"/>
    </sheetView>
  </sheetViews>
  <sheetFormatPr defaultColWidth="9.28515625" defaultRowHeight="12.75" x14ac:dyDescent="0.2"/>
  <cols>
    <col min="1" max="1" width="1.7109375" style="10" customWidth="1"/>
    <col min="2" max="2" width="26.28515625" style="10" customWidth="1"/>
    <col min="3" max="3" width="1.7109375" style="10" customWidth="1"/>
    <col min="4" max="11" width="13" style="10" customWidth="1"/>
    <col min="12" max="16384" width="9.28515625" style="10"/>
  </cols>
  <sheetData>
    <row r="1" spans="2:23" s="1" customFormat="1" ht="18.75" x14ac:dyDescent="0.3">
      <c r="B1" s="169" t="s">
        <v>0</v>
      </c>
      <c r="C1" s="170"/>
      <c r="D1" s="170"/>
      <c r="E1" s="170"/>
      <c r="F1" s="170"/>
      <c r="G1" s="170"/>
      <c r="H1" s="170"/>
      <c r="I1" s="170"/>
      <c r="J1" s="170"/>
      <c r="K1" s="171"/>
    </row>
    <row r="2" spans="2:23" s="1" customFormat="1" ht="18.75" x14ac:dyDescent="0.3">
      <c r="B2" s="172" t="s">
        <v>1</v>
      </c>
      <c r="C2" s="173"/>
      <c r="D2" s="173"/>
      <c r="E2" s="173"/>
      <c r="F2" s="173"/>
      <c r="G2" s="173"/>
      <c r="H2" s="173"/>
      <c r="I2" s="173"/>
      <c r="J2" s="173"/>
      <c r="K2" s="174"/>
    </row>
    <row r="3" spans="2:23" s="1" customFormat="1" ht="19.5" thickBot="1" x14ac:dyDescent="0.35">
      <c r="B3" s="2"/>
      <c r="C3" s="3"/>
      <c r="D3" s="3"/>
      <c r="E3" s="175" t="s">
        <v>2</v>
      </c>
      <c r="F3" s="175"/>
      <c r="G3" s="175"/>
      <c r="H3" s="175"/>
      <c r="I3" s="3"/>
      <c r="J3" s="4" t="s">
        <v>3</v>
      </c>
      <c r="K3" s="5">
        <v>44763</v>
      </c>
      <c r="S3" s="6" t="s">
        <v>4</v>
      </c>
    </row>
    <row r="4" spans="2:23" ht="13.5" thickBot="1" x14ac:dyDescent="0.25">
      <c r="B4" s="7"/>
      <c r="C4" s="7"/>
      <c r="D4" s="7"/>
      <c r="E4" s="7"/>
      <c r="F4" s="7"/>
      <c r="G4" s="7"/>
      <c r="H4" s="7"/>
      <c r="I4" s="7"/>
      <c r="J4" s="8"/>
      <c r="K4" s="9"/>
      <c r="S4" s="11" t="s">
        <v>5</v>
      </c>
      <c r="U4" s="12">
        <f>FLOOR(($D$9+17)/24,1)</f>
        <v>0</v>
      </c>
      <c r="V4" s="13">
        <f>U4+D6</f>
        <v>2</v>
      </c>
    </row>
    <row r="5" spans="2:23" s="11" customFormat="1" ht="21.75" customHeight="1" thickBot="1" x14ac:dyDescent="0.25">
      <c r="B5" s="176" t="s">
        <v>6</v>
      </c>
      <c r="C5" s="177"/>
      <c r="D5" s="178"/>
      <c r="E5" s="14"/>
      <c r="F5" s="14"/>
      <c r="G5" s="14"/>
      <c r="H5" s="14"/>
      <c r="I5" s="14"/>
      <c r="J5" s="14"/>
      <c r="K5" s="14"/>
      <c r="S5" s="10" t="s">
        <v>7</v>
      </c>
      <c r="T5" s="10"/>
      <c r="U5" s="10">
        <f>IF((D9-(U4*24))&gt;0,D9-(U4*24),0)</f>
        <v>0</v>
      </c>
      <c r="V5" s="10"/>
      <c r="W5" s="10"/>
    </row>
    <row r="6" spans="2:23" ht="15.75" thickBot="1" x14ac:dyDescent="0.3">
      <c r="B6" s="15"/>
      <c r="C6" s="16" t="s">
        <v>8</v>
      </c>
      <c r="D6" s="17">
        <v>2</v>
      </c>
      <c r="E6" s="18" t="s">
        <v>9</v>
      </c>
      <c r="F6" s="19"/>
      <c r="G6" s="20"/>
      <c r="H6" s="20"/>
      <c r="I6" s="20"/>
      <c r="J6" s="20"/>
      <c r="K6" s="21"/>
      <c r="S6" s="11"/>
      <c r="T6" s="11"/>
      <c r="U6" s="11"/>
      <c r="V6" s="11"/>
      <c r="W6" s="11"/>
    </row>
    <row r="7" spans="2:23" ht="15.75" thickBot="1" x14ac:dyDescent="0.3">
      <c r="B7" s="22"/>
      <c r="C7" s="16" t="s">
        <v>10</v>
      </c>
      <c r="D7" s="23">
        <v>210</v>
      </c>
      <c r="E7" s="18" t="s">
        <v>11</v>
      </c>
      <c r="F7" s="19"/>
      <c r="G7" s="24"/>
      <c r="H7" s="25" t="s">
        <v>12</v>
      </c>
      <c r="I7" s="188" t="s">
        <v>13</v>
      </c>
      <c r="J7" s="188"/>
      <c r="K7" s="189"/>
      <c r="S7" s="10" t="s">
        <v>14</v>
      </c>
      <c r="U7" s="26">
        <v>180</v>
      </c>
      <c r="V7" s="13">
        <f>IF(V4*U7&gt;0,V4*U7,180)</f>
        <v>360</v>
      </c>
      <c r="W7" s="13">
        <f>IF((D7-V7)&gt;0,(D7-V7),0)</f>
        <v>0</v>
      </c>
    </row>
    <row r="8" spans="2:23" ht="6.75" hidden="1" customHeight="1" x14ac:dyDescent="0.25">
      <c r="B8" s="15"/>
      <c r="C8" s="27"/>
      <c r="D8" s="28"/>
      <c r="E8" s="29"/>
      <c r="F8" s="19"/>
      <c r="G8" s="19"/>
      <c r="H8" s="30"/>
      <c r="I8" s="19"/>
      <c r="J8" s="7"/>
      <c r="K8" s="21"/>
      <c r="U8" s="31"/>
    </row>
    <row r="9" spans="2:23" s="11" customFormat="1" ht="17.25" hidden="1" customHeight="1" x14ac:dyDescent="0.25">
      <c r="B9" s="15"/>
      <c r="C9" s="32" t="s">
        <v>15</v>
      </c>
      <c r="D9" s="17"/>
      <c r="E9" s="18" t="s">
        <v>16</v>
      </c>
      <c r="F9" s="20"/>
      <c r="G9" s="20"/>
      <c r="H9" s="20"/>
      <c r="I9" s="20"/>
      <c r="J9" s="20"/>
      <c r="K9" s="33"/>
      <c r="S9" s="10"/>
      <c r="T9" s="10"/>
      <c r="U9" s="34"/>
      <c r="V9" s="10"/>
      <c r="W9" s="10"/>
    </row>
    <row r="10" spans="2:23" ht="15.75" thickBot="1" x14ac:dyDescent="0.3">
      <c r="B10" s="35"/>
      <c r="C10" s="35"/>
      <c r="D10" s="36"/>
      <c r="E10" s="37"/>
      <c r="F10" s="7"/>
      <c r="G10" s="7"/>
      <c r="H10" s="7"/>
      <c r="I10" s="7"/>
      <c r="J10" s="7"/>
      <c r="K10" s="7"/>
      <c r="S10" s="10" t="s">
        <v>17</v>
      </c>
      <c r="T10" s="11"/>
      <c r="U10" s="31">
        <v>0.45</v>
      </c>
      <c r="V10" s="11"/>
      <c r="W10" s="11">
        <f>W7*U10</f>
        <v>0</v>
      </c>
    </row>
    <row r="11" spans="2:23" ht="16.5" thickBot="1" x14ac:dyDescent="0.3">
      <c r="B11" s="166" t="s">
        <v>18</v>
      </c>
      <c r="C11" s="167"/>
      <c r="D11" s="167"/>
      <c r="E11" s="167"/>
      <c r="F11" s="167"/>
      <c r="G11" s="167"/>
      <c r="H11" s="167"/>
      <c r="I11" s="167"/>
      <c r="J11" s="167"/>
      <c r="K11" s="168"/>
    </row>
    <row r="12" spans="2:23" ht="27" customHeight="1" x14ac:dyDescent="0.2">
      <c r="B12" s="38"/>
      <c r="C12" s="39"/>
      <c r="D12" s="40" t="s">
        <v>19</v>
      </c>
      <c r="E12" s="40" t="s">
        <v>20</v>
      </c>
      <c r="F12" s="40" t="s">
        <v>21</v>
      </c>
      <c r="G12" s="40" t="s">
        <v>22</v>
      </c>
      <c r="H12" s="41" t="s">
        <v>23</v>
      </c>
      <c r="I12" s="41" t="s">
        <v>24</v>
      </c>
      <c r="J12" s="41" t="s">
        <v>25</v>
      </c>
      <c r="K12" s="42" t="s">
        <v>26</v>
      </c>
    </row>
    <row r="13" spans="2:23" s="48" customFormat="1" ht="12.75" customHeight="1" x14ac:dyDescent="0.2">
      <c r="B13" s="43" t="s">
        <v>27</v>
      </c>
      <c r="C13" s="44"/>
      <c r="D13" s="45">
        <v>50</v>
      </c>
      <c r="E13" s="46">
        <v>50</v>
      </c>
      <c r="F13" s="45">
        <v>70</v>
      </c>
      <c r="G13" s="45">
        <v>70</v>
      </c>
      <c r="H13" s="45">
        <v>70</v>
      </c>
      <c r="I13" s="45">
        <v>90</v>
      </c>
      <c r="J13" s="45">
        <v>50</v>
      </c>
      <c r="K13" s="47">
        <v>70</v>
      </c>
      <c r="S13" s="10"/>
      <c r="T13" s="10"/>
      <c r="U13" s="10"/>
      <c r="V13" s="10"/>
      <c r="W13" s="10"/>
    </row>
    <row r="14" spans="2:23" ht="12.75" customHeight="1" x14ac:dyDescent="0.2">
      <c r="B14" s="43" t="s">
        <v>28</v>
      </c>
      <c r="C14" s="49"/>
      <c r="D14" s="45">
        <f>D13*IF($D$6&gt;1,$D$6,1)</f>
        <v>100</v>
      </c>
      <c r="E14" s="45">
        <f t="shared" ref="E14:K14" si="0">E13*IF($D$6&gt;1,$D$6,1)</f>
        <v>100</v>
      </c>
      <c r="F14" s="45">
        <f t="shared" si="0"/>
        <v>140</v>
      </c>
      <c r="G14" s="45">
        <f t="shared" si="0"/>
        <v>140</v>
      </c>
      <c r="H14" s="45">
        <f t="shared" si="0"/>
        <v>140</v>
      </c>
      <c r="I14" s="45">
        <f t="shared" si="0"/>
        <v>180</v>
      </c>
      <c r="J14" s="45">
        <f t="shared" si="0"/>
        <v>100</v>
      </c>
      <c r="K14" s="47">
        <f t="shared" si="0"/>
        <v>140</v>
      </c>
      <c r="S14" s="48"/>
      <c r="T14" s="48"/>
      <c r="U14" s="48"/>
      <c r="V14" s="48"/>
      <c r="W14" s="48"/>
    </row>
    <row r="15" spans="2:23" ht="12.75" customHeight="1" x14ac:dyDescent="0.2">
      <c r="B15" s="43" t="s">
        <v>29</v>
      </c>
      <c r="C15" s="49"/>
      <c r="D15" s="46">
        <f>J96</f>
        <v>5.1100000000000003</v>
      </c>
      <c r="E15" s="46">
        <f>J96</f>
        <v>5.1100000000000003</v>
      </c>
      <c r="F15" s="45">
        <f>J96</f>
        <v>5.1100000000000003</v>
      </c>
      <c r="G15" s="50">
        <f>J96</f>
        <v>5.1100000000000003</v>
      </c>
      <c r="H15" s="45">
        <f>J96</f>
        <v>5.1100000000000003</v>
      </c>
      <c r="I15" s="45">
        <f>J96</f>
        <v>5.1100000000000003</v>
      </c>
      <c r="J15" s="45">
        <f>J96</f>
        <v>5.1100000000000003</v>
      </c>
      <c r="K15" s="47">
        <f>J96</f>
        <v>5.1100000000000003</v>
      </c>
    </row>
    <row r="16" spans="2:23" s="48" customFormat="1" ht="12.75" customHeight="1" x14ac:dyDescent="0.2">
      <c r="B16" s="43" t="s">
        <v>30</v>
      </c>
      <c r="C16" s="44"/>
      <c r="D16" s="51">
        <v>50</v>
      </c>
      <c r="E16" s="52">
        <v>28.4</v>
      </c>
      <c r="F16" s="51">
        <f>AVERAGE(23.6,22.6)</f>
        <v>23.1</v>
      </c>
      <c r="G16" s="51">
        <v>21</v>
      </c>
      <c r="H16" s="51">
        <v>19.899999999999999</v>
      </c>
      <c r="I16" s="51">
        <v>13.2</v>
      </c>
      <c r="J16" s="51">
        <v>12.9</v>
      </c>
      <c r="K16" s="53">
        <v>12.1</v>
      </c>
      <c r="S16" s="10"/>
      <c r="T16" s="10"/>
      <c r="U16" s="10"/>
      <c r="V16" s="10"/>
      <c r="W16" s="10"/>
    </row>
    <row r="17" spans="2:23" s="48" customFormat="1" ht="12.75" customHeight="1" x14ac:dyDescent="0.2">
      <c r="B17" s="43" t="s">
        <v>31</v>
      </c>
      <c r="C17" s="44"/>
      <c r="D17" s="45">
        <f t="shared" ref="D17:K17" si="1">SUM(D15/D16)</f>
        <v>0.10220000000000001</v>
      </c>
      <c r="E17" s="45">
        <f t="shared" si="1"/>
        <v>0.17992957746478874</v>
      </c>
      <c r="F17" s="45">
        <f t="shared" si="1"/>
        <v>0.22121212121212122</v>
      </c>
      <c r="G17" s="45">
        <f t="shared" si="1"/>
        <v>0.24333333333333335</v>
      </c>
      <c r="H17" s="45">
        <f t="shared" si="1"/>
        <v>0.25678391959798996</v>
      </c>
      <c r="I17" s="45">
        <f t="shared" si="1"/>
        <v>0.38712121212121214</v>
      </c>
      <c r="J17" s="45">
        <f t="shared" si="1"/>
        <v>0.39612403100775195</v>
      </c>
      <c r="K17" s="47">
        <f t="shared" si="1"/>
        <v>0.42231404958677687</v>
      </c>
    </row>
    <row r="18" spans="2:23" ht="12.75" customHeight="1" x14ac:dyDescent="0.2">
      <c r="B18" s="43" t="s">
        <v>32</v>
      </c>
      <c r="C18" s="49"/>
      <c r="D18" s="54">
        <f t="shared" ref="D18:K18" si="2">+D17*$D$7</f>
        <v>21.462000000000003</v>
      </c>
      <c r="E18" s="55">
        <f t="shared" si="2"/>
        <v>37.785211267605639</v>
      </c>
      <c r="F18" s="54">
        <f t="shared" si="2"/>
        <v>46.454545454545453</v>
      </c>
      <c r="G18" s="56">
        <f t="shared" si="2"/>
        <v>51.1</v>
      </c>
      <c r="H18" s="54">
        <f t="shared" si="2"/>
        <v>53.924623115577894</v>
      </c>
      <c r="I18" s="54">
        <f t="shared" si="2"/>
        <v>81.295454545454547</v>
      </c>
      <c r="J18" s="54">
        <f t="shared" si="2"/>
        <v>83.186046511627907</v>
      </c>
      <c r="K18" s="57">
        <f t="shared" si="2"/>
        <v>88.685950413223139</v>
      </c>
      <c r="S18" s="48"/>
      <c r="T18" s="48"/>
      <c r="U18" s="48"/>
      <c r="V18" s="48"/>
      <c r="W18" s="48"/>
    </row>
    <row r="19" spans="2:23" ht="12.75" customHeight="1" x14ac:dyDescent="0.2">
      <c r="B19" s="43" t="s">
        <v>33</v>
      </c>
      <c r="C19" s="49"/>
      <c r="D19" s="58">
        <f>IF($D$7&gt;0,D20/$D$7,0)</f>
        <v>0.57839047619047623</v>
      </c>
      <c r="E19" s="58">
        <f t="shared" ref="E19:K19" si="3">IF($D$7&gt;0,E20/$D$7,0)</f>
        <v>0.65612005365526493</v>
      </c>
      <c r="F19" s="58">
        <f t="shared" si="3"/>
        <v>0.88787878787878782</v>
      </c>
      <c r="G19" s="58">
        <f t="shared" si="3"/>
        <v>0.90999999999999992</v>
      </c>
      <c r="H19" s="58">
        <f t="shared" si="3"/>
        <v>0.9234505862646567</v>
      </c>
      <c r="I19" s="58">
        <f t="shared" si="3"/>
        <v>1.2442640692640694</v>
      </c>
      <c r="J19" s="58">
        <f t="shared" si="3"/>
        <v>0.87231450719822823</v>
      </c>
      <c r="K19" s="59">
        <f t="shared" si="3"/>
        <v>1.0889807162534435</v>
      </c>
    </row>
    <row r="20" spans="2:23" s="66" customFormat="1" ht="16.5" customHeight="1" thickBot="1" x14ac:dyDescent="0.25">
      <c r="B20" s="60" t="s">
        <v>34</v>
      </c>
      <c r="C20" s="61"/>
      <c r="D20" s="62">
        <f t="shared" ref="D20:K20" si="4">+D14+D18</f>
        <v>121.462</v>
      </c>
      <c r="E20" s="63">
        <f t="shared" si="4"/>
        <v>137.78521126760563</v>
      </c>
      <c r="F20" s="62">
        <f t="shared" si="4"/>
        <v>186.45454545454544</v>
      </c>
      <c r="G20" s="64">
        <f t="shared" si="4"/>
        <v>191.1</v>
      </c>
      <c r="H20" s="62">
        <f t="shared" si="4"/>
        <v>193.9246231155779</v>
      </c>
      <c r="I20" s="62">
        <f t="shared" si="4"/>
        <v>261.29545454545456</v>
      </c>
      <c r="J20" s="62">
        <f t="shared" si="4"/>
        <v>183.18604651162792</v>
      </c>
      <c r="K20" s="65">
        <f t="shared" si="4"/>
        <v>228.68595041322314</v>
      </c>
      <c r="S20" s="10"/>
      <c r="T20" s="10"/>
      <c r="U20" s="10"/>
      <c r="V20" s="10"/>
      <c r="W20" s="10"/>
    </row>
    <row r="21" spans="2:23" ht="15.75" thickBo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S21" s="66"/>
      <c r="T21" s="66"/>
      <c r="U21" s="66"/>
      <c r="V21" s="66"/>
      <c r="W21" s="66"/>
    </row>
    <row r="22" spans="2:23" ht="16.5" thickBot="1" x14ac:dyDescent="0.3">
      <c r="B22" s="166" t="s">
        <v>35</v>
      </c>
      <c r="C22" s="167"/>
      <c r="D22" s="167"/>
      <c r="E22" s="167"/>
      <c r="F22" s="167"/>
      <c r="G22" s="167"/>
      <c r="H22" s="167"/>
      <c r="I22" s="167"/>
      <c r="J22" s="167"/>
      <c r="K22" s="168"/>
      <c r="S22" s="10" t="s">
        <v>98</v>
      </c>
    </row>
    <row r="23" spans="2:23" ht="25.5" x14ac:dyDescent="0.2">
      <c r="B23" s="38"/>
      <c r="C23" s="39"/>
      <c r="D23" s="40" t="s">
        <v>19</v>
      </c>
      <c r="E23" s="40" t="s">
        <v>20</v>
      </c>
      <c r="F23" s="40" t="s">
        <v>36</v>
      </c>
      <c r="G23" s="40" t="s">
        <v>37</v>
      </c>
      <c r="H23" s="41" t="s">
        <v>23</v>
      </c>
      <c r="I23" s="41" t="s">
        <v>24</v>
      </c>
      <c r="J23" s="41" t="s">
        <v>25</v>
      </c>
      <c r="K23" s="42" t="s">
        <v>26</v>
      </c>
      <c r="T23" s="10">
        <v>36</v>
      </c>
    </row>
    <row r="24" spans="2:23" x14ac:dyDescent="0.2">
      <c r="B24" s="43" t="s">
        <v>38</v>
      </c>
      <c r="C24" s="44"/>
      <c r="D24" s="45">
        <v>49</v>
      </c>
      <c r="E24" s="45">
        <v>35.450000000000003</v>
      </c>
      <c r="F24" s="45">
        <v>63.24</v>
      </c>
      <c r="G24" s="45">
        <v>86</v>
      </c>
      <c r="H24" s="45">
        <v>66.3</v>
      </c>
      <c r="I24" s="45">
        <v>124.44</v>
      </c>
      <c r="J24" s="45" t="s">
        <v>39</v>
      </c>
      <c r="K24" s="47">
        <v>76.5</v>
      </c>
      <c r="T24" s="10">
        <v>0.625</v>
      </c>
    </row>
    <row r="25" spans="2:23" x14ac:dyDescent="0.2">
      <c r="B25" s="43" t="s">
        <v>28</v>
      </c>
      <c r="C25" s="49"/>
      <c r="D25" s="45">
        <f>D$24*IF($D$6&gt;1,$D$6,1)</f>
        <v>98</v>
      </c>
      <c r="E25" s="45">
        <f t="shared" ref="E25:K25" si="5">E24*IF($D$6&gt;1,$D$6,1)</f>
        <v>70.900000000000006</v>
      </c>
      <c r="F25" s="45">
        <f t="shared" si="5"/>
        <v>126.48</v>
      </c>
      <c r="G25" s="45">
        <f t="shared" si="5"/>
        <v>172</v>
      </c>
      <c r="H25" s="45">
        <f t="shared" si="5"/>
        <v>132.6</v>
      </c>
      <c r="I25" s="45">
        <f t="shared" si="5"/>
        <v>248.88</v>
      </c>
      <c r="J25" s="45">
        <v>0</v>
      </c>
      <c r="K25" s="47">
        <f t="shared" si="5"/>
        <v>153</v>
      </c>
      <c r="T25" s="10">
        <f>SUM(T23*T24)</f>
        <v>22.5</v>
      </c>
    </row>
    <row r="26" spans="2:23" x14ac:dyDescent="0.2">
      <c r="B26" s="43" t="s">
        <v>40</v>
      </c>
      <c r="C26" s="49"/>
      <c r="D26" s="67">
        <f t="shared" ref="D26:K26" si="6">$J$97</f>
        <v>5.266</v>
      </c>
      <c r="E26" s="67">
        <f t="shared" si="6"/>
        <v>5.266</v>
      </c>
      <c r="F26" s="67">
        <f t="shared" si="6"/>
        <v>5.266</v>
      </c>
      <c r="G26" s="67">
        <f t="shared" si="6"/>
        <v>5.266</v>
      </c>
      <c r="H26" s="67">
        <f t="shared" si="6"/>
        <v>5.266</v>
      </c>
      <c r="I26" s="67">
        <f t="shared" si="6"/>
        <v>5.266</v>
      </c>
      <c r="J26" s="67">
        <f t="shared" si="6"/>
        <v>5.266</v>
      </c>
      <c r="K26" s="68">
        <f t="shared" si="6"/>
        <v>5.266</v>
      </c>
    </row>
    <row r="27" spans="2:23" x14ac:dyDescent="0.2">
      <c r="B27" s="43" t="s">
        <v>30</v>
      </c>
      <c r="C27" s="44"/>
      <c r="D27" s="69">
        <f t="shared" ref="D27:K27" si="7">D40</f>
        <v>50</v>
      </c>
      <c r="E27" s="69">
        <f t="shared" si="7"/>
        <v>29</v>
      </c>
      <c r="F27" s="69">
        <v>25</v>
      </c>
      <c r="G27" s="69">
        <v>18</v>
      </c>
      <c r="H27" s="69">
        <f t="shared" si="7"/>
        <v>23</v>
      </c>
      <c r="I27" s="69">
        <f t="shared" si="7"/>
        <v>16</v>
      </c>
      <c r="J27" s="69">
        <f t="shared" si="7"/>
        <v>16</v>
      </c>
      <c r="K27" s="70">
        <f t="shared" si="7"/>
        <v>17</v>
      </c>
    </row>
    <row r="28" spans="2:23" x14ac:dyDescent="0.2">
      <c r="B28" s="43" t="s">
        <v>31</v>
      </c>
      <c r="C28" s="44"/>
      <c r="D28" s="45">
        <f t="shared" ref="D28:K28" si="8">SUM(D26/D27)</f>
        <v>0.10532</v>
      </c>
      <c r="E28" s="45">
        <f t="shared" si="8"/>
        <v>0.18158620689655172</v>
      </c>
      <c r="F28" s="45">
        <f t="shared" si="8"/>
        <v>0.21063999999999999</v>
      </c>
      <c r="G28" s="45">
        <f t="shared" si="8"/>
        <v>0.29255555555555557</v>
      </c>
      <c r="H28" s="45">
        <f t="shared" si="8"/>
        <v>0.22895652173913045</v>
      </c>
      <c r="I28" s="45">
        <f t="shared" si="8"/>
        <v>0.329125</v>
      </c>
      <c r="J28" s="45">
        <f t="shared" si="8"/>
        <v>0.329125</v>
      </c>
      <c r="K28" s="47">
        <f t="shared" si="8"/>
        <v>0.30976470588235294</v>
      </c>
    </row>
    <row r="29" spans="2:23" x14ac:dyDescent="0.2">
      <c r="B29" s="43" t="s">
        <v>32</v>
      </c>
      <c r="C29" s="49"/>
      <c r="D29" s="54">
        <f t="shared" ref="D29:K29" si="9">+D28*$D$7</f>
        <v>22.1172</v>
      </c>
      <c r="E29" s="55">
        <f t="shared" si="9"/>
        <v>38.133103448275861</v>
      </c>
      <c r="F29" s="54">
        <f t="shared" si="9"/>
        <v>44.234400000000001</v>
      </c>
      <c r="G29" s="56">
        <f t="shared" si="9"/>
        <v>61.436666666666667</v>
      </c>
      <c r="H29" s="54">
        <f t="shared" si="9"/>
        <v>48.080869565217391</v>
      </c>
      <c r="I29" s="54">
        <f t="shared" si="9"/>
        <v>69.116249999999994</v>
      </c>
      <c r="J29" s="54">
        <f t="shared" si="9"/>
        <v>69.116249999999994</v>
      </c>
      <c r="K29" s="57">
        <f t="shared" si="9"/>
        <v>65.050588235294114</v>
      </c>
    </row>
    <row r="30" spans="2:23" x14ac:dyDescent="0.2">
      <c r="B30" s="43" t="s">
        <v>33</v>
      </c>
      <c r="C30" s="49"/>
      <c r="D30" s="54">
        <f>IF($D$7&gt;0,D31/$D$7,0)</f>
        <v>0.57198666666666664</v>
      </c>
      <c r="E30" s="54">
        <f>IF($D$7&gt;0,E31/$D$7,0)</f>
        <v>0.5192052545155994</v>
      </c>
      <c r="F30" s="54">
        <f t="shared" ref="F30:K30" si="10">IF($D$7&gt;0,F31/$D$7,0)</f>
        <v>0.81292571428571436</v>
      </c>
      <c r="G30" s="54">
        <f t="shared" si="10"/>
        <v>1.1116031746031747</v>
      </c>
      <c r="H30" s="54">
        <f t="shared" si="10"/>
        <v>0.86038509316770184</v>
      </c>
      <c r="I30" s="54">
        <f t="shared" si="10"/>
        <v>1.5142678571428569</v>
      </c>
      <c r="J30" s="54">
        <f t="shared" si="10"/>
        <v>0.32912499999999995</v>
      </c>
      <c r="K30" s="57">
        <f t="shared" si="10"/>
        <v>1.0383361344537816</v>
      </c>
    </row>
    <row r="31" spans="2:23" ht="16.5" customHeight="1" thickBot="1" x14ac:dyDescent="0.25">
      <c r="B31" s="60" t="s">
        <v>34</v>
      </c>
      <c r="C31" s="71"/>
      <c r="D31" s="72">
        <f t="shared" ref="D31:K31" si="11">+D25+D29</f>
        <v>120.1172</v>
      </c>
      <c r="E31" s="72">
        <f t="shared" si="11"/>
        <v>109.03310344827587</v>
      </c>
      <c r="F31" s="72">
        <f t="shared" si="11"/>
        <v>170.71440000000001</v>
      </c>
      <c r="G31" s="72">
        <f t="shared" si="11"/>
        <v>233.43666666666667</v>
      </c>
      <c r="H31" s="72">
        <f t="shared" si="11"/>
        <v>180.68086956521739</v>
      </c>
      <c r="I31" s="72">
        <f t="shared" si="11"/>
        <v>317.99624999999997</v>
      </c>
      <c r="J31" s="72">
        <f t="shared" si="11"/>
        <v>69.116249999999994</v>
      </c>
      <c r="K31" s="73">
        <f t="shared" si="11"/>
        <v>218.05058823529413</v>
      </c>
    </row>
    <row r="32" spans="2:23" ht="13.5" thickBot="1" x14ac:dyDescent="0.25">
      <c r="B32" s="74" t="s">
        <v>97</v>
      </c>
      <c r="C32" s="19"/>
      <c r="D32" s="19">
        <f>+$T25</f>
        <v>22.5</v>
      </c>
      <c r="E32" s="19">
        <f t="shared" ref="E32:G32" si="12">+$T25</f>
        <v>22.5</v>
      </c>
      <c r="F32" s="19">
        <f t="shared" si="12"/>
        <v>22.5</v>
      </c>
      <c r="G32" s="19">
        <f t="shared" si="12"/>
        <v>22.5</v>
      </c>
      <c r="H32" s="19"/>
      <c r="I32" s="19"/>
      <c r="J32" s="186" t="s">
        <v>41</v>
      </c>
      <c r="K32" s="187"/>
    </row>
    <row r="33" spans="2:11" ht="13.5" thickBot="1" x14ac:dyDescent="0.25">
      <c r="B33" s="60" t="s">
        <v>99</v>
      </c>
      <c r="C33" s="7"/>
      <c r="D33" s="163">
        <f>SUM(D31:D32)</f>
        <v>142.6172</v>
      </c>
      <c r="E33" s="163">
        <f t="shared" ref="E33:G33" si="13">SUM(E31:E32)</f>
        <v>131.53310344827588</v>
      </c>
      <c r="F33" s="163">
        <f t="shared" si="13"/>
        <v>193.21440000000001</v>
      </c>
      <c r="G33" s="163">
        <f t="shared" si="13"/>
        <v>255.93666666666667</v>
      </c>
      <c r="H33" s="7"/>
      <c r="I33" s="7"/>
      <c r="J33" s="162"/>
      <c r="K33" s="162"/>
    </row>
    <row r="34" spans="2:11" ht="13.5" thickBot="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2:11" ht="16.5" thickBot="1" x14ac:dyDescent="0.3">
      <c r="B35" s="166" t="s">
        <v>42</v>
      </c>
      <c r="C35" s="167"/>
      <c r="D35" s="167"/>
      <c r="E35" s="167"/>
      <c r="F35" s="167"/>
      <c r="G35" s="167"/>
      <c r="H35" s="167"/>
      <c r="I35" s="167"/>
      <c r="J35" s="167"/>
      <c r="K35" s="168"/>
    </row>
    <row r="36" spans="2:11" ht="25.5" x14ac:dyDescent="0.2">
      <c r="B36" s="38"/>
      <c r="C36" s="39"/>
      <c r="D36" s="40" t="s">
        <v>43</v>
      </c>
      <c r="E36" s="40" t="s">
        <v>20</v>
      </c>
      <c r="F36" s="40" t="s">
        <v>36</v>
      </c>
      <c r="G36" s="40" t="s">
        <v>37</v>
      </c>
      <c r="H36" s="41" t="s">
        <v>23</v>
      </c>
      <c r="I36" s="41" t="s">
        <v>24</v>
      </c>
      <c r="J36" s="41" t="s">
        <v>25</v>
      </c>
      <c r="K36" s="76" t="s">
        <v>26</v>
      </c>
    </row>
    <row r="37" spans="2:11" x14ac:dyDescent="0.2">
      <c r="B37" s="43" t="s">
        <v>44</v>
      </c>
      <c r="C37" s="44"/>
      <c r="D37" s="45">
        <v>45.9</v>
      </c>
      <c r="E37" s="45">
        <v>33.659999999999997</v>
      </c>
      <c r="F37" s="45">
        <v>55.85</v>
      </c>
      <c r="G37" s="45">
        <v>86.19</v>
      </c>
      <c r="H37" s="45">
        <v>55.08</v>
      </c>
      <c r="I37" s="45">
        <v>96.9</v>
      </c>
      <c r="J37" s="45" t="s">
        <v>39</v>
      </c>
      <c r="K37" s="47">
        <v>60.18</v>
      </c>
    </row>
    <row r="38" spans="2:11" x14ac:dyDescent="0.2">
      <c r="B38" s="43" t="s">
        <v>28</v>
      </c>
      <c r="C38" s="49"/>
      <c r="D38" s="45">
        <f>D$37*IF($D$6&gt;1,$D$6,1)</f>
        <v>91.8</v>
      </c>
      <c r="E38" s="45">
        <f>E37*IF($D$6&gt;1,$D$6,1)</f>
        <v>67.319999999999993</v>
      </c>
      <c r="F38" s="45">
        <f>F37*IF($D$6&gt;1,$D$6,1)</f>
        <v>111.7</v>
      </c>
      <c r="G38" s="45">
        <f>G37*IF($D$6&gt;1,$D$6,1)</f>
        <v>172.38</v>
      </c>
      <c r="H38" s="45">
        <f>H37*IF($D$6&gt;1,$D$6,1)</f>
        <v>110.16</v>
      </c>
      <c r="I38" s="45">
        <f>I37*IF($D$6&gt;1,$D$6,1)</f>
        <v>193.8</v>
      </c>
      <c r="J38" s="45">
        <v>0</v>
      </c>
      <c r="K38" s="47">
        <f>K37*IF($D$6&gt;1,$D$6,1)</f>
        <v>120.36</v>
      </c>
    </row>
    <row r="39" spans="2:11" x14ac:dyDescent="0.2">
      <c r="B39" s="43" t="s">
        <v>40</v>
      </c>
      <c r="C39" s="49"/>
      <c r="D39" s="45">
        <f t="shared" ref="D39:I39" si="14">$J$97</f>
        <v>5.266</v>
      </c>
      <c r="E39" s="45">
        <f t="shared" si="14"/>
        <v>5.266</v>
      </c>
      <c r="F39" s="45">
        <f t="shared" si="14"/>
        <v>5.266</v>
      </c>
      <c r="G39" s="45">
        <f t="shared" si="14"/>
        <v>5.266</v>
      </c>
      <c r="H39" s="45">
        <f t="shared" si="14"/>
        <v>5.266</v>
      </c>
      <c r="I39" s="45">
        <f t="shared" si="14"/>
        <v>5.266</v>
      </c>
      <c r="J39" s="45">
        <f>$J$97</f>
        <v>5.266</v>
      </c>
      <c r="K39" s="47">
        <f>$J$97</f>
        <v>5.266</v>
      </c>
    </row>
    <row r="40" spans="2:11" x14ac:dyDescent="0.2">
      <c r="B40" s="43" t="s">
        <v>30</v>
      </c>
      <c r="C40" s="44"/>
      <c r="D40" s="69">
        <v>50</v>
      </c>
      <c r="E40" s="69">
        <v>29</v>
      </c>
      <c r="F40" s="69">
        <v>24</v>
      </c>
      <c r="G40" s="69">
        <v>18</v>
      </c>
      <c r="H40" s="69">
        <v>23</v>
      </c>
      <c r="I40" s="69">
        <v>16</v>
      </c>
      <c r="J40" s="69">
        <v>16</v>
      </c>
      <c r="K40" s="70">
        <v>17</v>
      </c>
    </row>
    <row r="41" spans="2:11" x14ac:dyDescent="0.2">
      <c r="B41" s="43" t="s">
        <v>31</v>
      </c>
      <c r="C41" s="44"/>
      <c r="D41" s="45">
        <f t="shared" ref="D41:I41" si="15">SUM(D39/D40)</f>
        <v>0.10532</v>
      </c>
      <c r="E41" s="45">
        <f t="shared" si="15"/>
        <v>0.18158620689655172</v>
      </c>
      <c r="F41" s="45">
        <f t="shared" si="15"/>
        <v>0.21941666666666668</v>
      </c>
      <c r="G41" s="45">
        <f t="shared" si="15"/>
        <v>0.29255555555555557</v>
      </c>
      <c r="H41" s="45">
        <f t="shared" si="15"/>
        <v>0.22895652173913045</v>
      </c>
      <c r="I41" s="45">
        <f t="shared" si="15"/>
        <v>0.329125</v>
      </c>
      <c r="J41" s="45"/>
      <c r="K41" s="47">
        <f>SUM(K39/K40)</f>
        <v>0.30976470588235294</v>
      </c>
    </row>
    <row r="42" spans="2:11" x14ac:dyDescent="0.2">
      <c r="B42" s="43" t="s">
        <v>32</v>
      </c>
      <c r="C42" s="49"/>
      <c r="D42" s="54">
        <f t="shared" ref="D42:K42" si="16">+D41*$D$7</f>
        <v>22.1172</v>
      </c>
      <c r="E42" s="55">
        <f t="shared" si="16"/>
        <v>38.133103448275861</v>
      </c>
      <c r="F42" s="54">
        <f t="shared" si="16"/>
        <v>46.077500000000001</v>
      </c>
      <c r="G42" s="56">
        <f t="shared" si="16"/>
        <v>61.436666666666667</v>
      </c>
      <c r="H42" s="54">
        <f t="shared" si="16"/>
        <v>48.080869565217391</v>
      </c>
      <c r="I42" s="54">
        <f t="shared" si="16"/>
        <v>69.116249999999994</v>
      </c>
      <c r="J42" s="54">
        <f t="shared" si="16"/>
        <v>0</v>
      </c>
      <c r="K42" s="57">
        <f t="shared" si="16"/>
        <v>65.050588235294114</v>
      </c>
    </row>
    <row r="43" spans="2:11" x14ac:dyDescent="0.2">
      <c r="B43" s="43" t="s">
        <v>33</v>
      </c>
      <c r="C43" s="49"/>
      <c r="D43" s="54">
        <f>IF($D$7&gt;0,D44/$D$7,0)</f>
        <v>0.54246285714285714</v>
      </c>
      <c r="E43" s="54">
        <f>IF($D$7&gt;0,E44/$D$7,0)</f>
        <v>0.50215763546798031</v>
      </c>
      <c r="F43" s="54">
        <f t="shared" ref="F43:K43" si="17">IF($D$7&gt;0,F44/$D$7,0)</f>
        <v>0.75132142857142858</v>
      </c>
      <c r="G43" s="54">
        <f t="shared" si="17"/>
        <v>1.1134126984126984</v>
      </c>
      <c r="H43" s="58">
        <f t="shared" si="17"/>
        <v>0.75352795031055897</v>
      </c>
      <c r="I43" s="54">
        <f t="shared" si="17"/>
        <v>1.2519821428571427</v>
      </c>
      <c r="J43" s="54">
        <f t="shared" si="17"/>
        <v>0</v>
      </c>
      <c r="K43" s="57">
        <f t="shared" si="17"/>
        <v>0.88290756302521012</v>
      </c>
    </row>
    <row r="44" spans="2:11" ht="16.5" customHeight="1" thickBot="1" x14ac:dyDescent="0.25">
      <c r="B44" s="60" t="s">
        <v>34</v>
      </c>
      <c r="C44" s="71"/>
      <c r="D44" s="72">
        <f t="shared" ref="D44:I44" si="18">+D38+D42</f>
        <v>113.91719999999999</v>
      </c>
      <c r="E44" s="72">
        <f t="shared" si="18"/>
        <v>105.45310344827585</v>
      </c>
      <c r="F44" s="72">
        <f t="shared" si="18"/>
        <v>157.7775</v>
      </c>
      <c r="G44" s="72">
        <f t="shared" si="18"/>
        <v>233.81666666666666</v>
      </c>
      <c r="H44" s="72">
        <f t="shared" si="18"/>
        <v>158.24086956521739</v>
      </c>
      <c r="I44" s="72">
        <f t="shared" si="18"/>
        <v>262.91624999999999</v>
      </c>
      <c r="J44" s="72"/>
      <c r="K44" s="73">
        <f>+K38+K42</f>
        <v>185.41058823529411</v>
      </c>
    </row>
    <row r="45" spans="2:11" ht="16.5" customHeight="1" thickBot="1" x14ac:dyDescent="0.25">
      <c r="B45" s="74" t="s">
        <v>100</v>
      </c>
      <c r="C45" s="19"/>
      <c r="D45" s="19">
        <f>+$T25</f>
        <v>22.5</v>
      </c>
      <c r="E45" s="19">
        <f t="shared" ref="E45:G45" si="19">+$T25</f>
        <v>22.5</v>
      </c>
      <c r="F45" s="19">
        <f t="shared" si="19"/>
        <v>22.5</v>
      </c>
      <c r="G45" s="19">
        <f t="shared" si="19"/>
        <v>22.5</v>
      </c>
      <c r="H45" s="64"/>
      <c r="I45" s="64"/>
      <c r="J45" s="64"/>
      <c r="K45" s="164"/>
    </row>
    <row r="46" spans="2:11" ht="16.5" customHeight="1" thickBot="1" x14ac:dyDescent="0.25">
      <c r="B46" s="60" t="s">
        <v>99</v>
      </c>
      <c r="C46" s="7"/>
      <c r="D46" s="163">
        <f>SUM(D44:D45)</f>
        <v>136.41719999999998</v>
      </c>
      <c r="E46" s="163">
        <f t="shared" ref="E46" si="20">SUM(E44:E45)</f>
        <v>127.95310344827585</v>
      </c>
      <c r="F46" s="163">
        <f t="shared" ref="F46" si="21">SUM(F44:F45)</f>
        <v>180.2775</v>
      </c>
      <c r="G46" s="163">
        <f t="shared" ref="G46" si="22">SUM(G44:G45)</f>
        <v>256.31666666666666</v>
      </c>
      <c r="H46" s="64"/>
      <c r="I46" s="64"/>
      <c r="J46" s="64"/>
      <c r="K46" s="164"/>
    </row>
    <row r="47" spans="2:11" ht="13.5" thickBot="1" x14ac:dyDescent="0.25">
      <c r="B47" s="77" t="s">
        <v>45</v>
      </c>
      <c r="C47" s="19"/>
      <c r="D47" s="19"/>
      <c r="E47" s="19"/>
      <c r="F47" s="19"/>
      <c r="G47" s="19"/>
      <c r="H47" s="19"/>
      <c r="I47" s="19"/>
      <c r="J47" s="78"/>
      <c r="K47" s="75" t="s">
        <v>46</v>
      </c>
    </row>
    <row r="48" spans="2:11" ht="13.5" thickBot="1" x14ac:dyDescent="0.25"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2:11" ht="16.5" hidden="1" thickBot="1" x14ac:dyDescent="0.3">
      <c r="B49" s="166" t="s">
        <v>47</v>
      </c>
      <c r="C49" s="167"/>
      <c r="D49" s="167"/>
      <c r="E49" s="167"/>
      <c r="F49" s="167"/>
      <c r="G49" s="167"/>
      <c r="H49" s="167"/>
      <c r="I49" s="167"/>
      <c r="J49" s="167"/>
      <c r="K49" s="168"/>
    </row>
    <row r="50" spans="2:11" ht="26.25" hidden="1" thickBot="1" x14ac:dyDescent="0.25">
      <c r="B50" s="79"/>
      <c r="C50" s="80"/>
      <c r="D50" s="81" t="s">
        <v>48</v>
      </c>
      <c r="E50" s="40" t="s">
        <v>20</v>
      </c>
      <c r="F50" s="40" t="s">
        <v>49</v>
      </c>
      <c r="G50" s="41" t="s">
        <v>50</v>
      </c>
      <c r="H50" s="41" t="s">
        <v>51</v>
      </c>
      <c r="I50" s="41" t="s">
        <v>23</v>
      </c>
      <c r="J50" s="41" t="s">
        <v>24</v>
      </c>
      <c r="K50" s="42" t="s">
        <v>25</v>
      </c>
    </row>
    <row r="51" spans="2:11" ht="13.5" hidden="1" thickBot="1" x14ac:dyDescent="0.25">
      <c r="B51" s="43" t="s">
        <v>52</v>
      </c>
      <c r="C51" s="44"/>
      <c r="D51" s="45">
        <v>92</v>
      </c>
      <c r="E51" s="45">
        <v>97.1</v>
      </c>
      <c r="F51" s="45">
        <v>102.22</v>
      </c>
      <c r="G51" s="45">
        <v>97.1</v>
      </c>
      <c r="H51" s="45">
        <v>132.9</v>
      </c>
      <c r="I51" s="45">
        <v>132.9</v>
      </c>
      <c r="J51" s="45">
        <v>235.1</v>
      </c>
      <c r="K51" s="47" t="s">
        <v>39</v>
      </c>
    </row>
    <row r="52" spans="2:11" ht="13.5" hidden="1" thickBot="1" x14ac:dyDescent="0.25">
      <c r="B52" s="43" t="s">
        <v>53</v>
      </c>
      <c r="C52" s="82"/>
      <c r="D52" s="45">
        <v>9.1999999999999993</v>
      </c>
      <c r="E52" s="45">
        <v>9.7100000000000009</v>
      </c>
      <c r="F52" s="45">
        <v>10.220000000000001</v>
      </c>
      <c r="G52" s="45">
        <v>9.7100000000000009</v>
      </c>
      <c r="H52" s="45">
        <v>13.29</v>
      </c>
      <c r="I52" s="45">
        <v>13.29</v>
      </c>
      <c r="J52" s="45">
        <v>23.51</v>
      </c>
      <c r="K52" s="47" t="s">
        <v>39</v>
      </c>
    </row>
    <row r="53" spans="2:11" ht="13.5" hidden="1" thickBot="1" x14ac:dyDescent="0.25">
      <c r="B53" s="43" t="s">
        <v>54</v>
      </c>
      <c r="C53" s="49"/>
      <c r="D53" s="45">
        <f t="shared" ref="D53:I53" si="23">D52*$U$5</f>
        <v>0</v>
      </c>
      <c r="E53" s="45">
        <f t="shared" si="23"/>
        <v>0</v>
      </c>
      <c r="F53" s="45">
        <f t="shared" si="23"/>
        <v>0</v>
      </c>
      <c r="G53" s="45">
        <f t="shared" si="23"/>
        <v>0</v>
      </c>
      <c r="H53" s="45">
        <f t="shared" si="23"/>
        <v>0</v>
      </c>
      <c r="I53" s="45">
        <f t="shared" si="23"/>
        <v>0</v>
      </c>
      <c r="J53" s="45" t="s">
        <v>55</v>
      </c>
      <c r="K53" s="47" t="s">
        <v>55</v>
      </c>
    </row>
    <row r="54" spans="2:11" ht="13.5" hidden="1" thickBot="1" x14ac:dyDescent="0.25">
      <c r="B54" s="43" t="s">
        <v>56</v>
      </c>
      <c r="C54" s="49"/>
      <c r="D54" s="45">
        <f t="shared" ref="D54:I54" si="24">D51*$V$4</f>
        <v>184</v>
      </c>
      <c r="E54" s="45">
        <f t="shared" si="24"/>
        <v>194.2</v>
      </c>
      <c r="F54" s="45">
        <f t="shared" si="24"/>
        <v>204.44</v>
      </c>
      <c r="G54" s="45">
        <f t="shared" si="24"/>
        <v>194.2</v>
      </c>
      <c r="H54" s="45">
        <f t="shared" si="24"/>
        <v>265.8</v>
      </c>
      <c r="I54" s="45">
        <f t="shared" si="24"/>
        <v>265.8</v>
      </c>
      <c r="J54" s="45" t="s">
        <v>55</v>
      </c>
      <c r="K54" s="47" t="s">
        <v>55</v>
      </c>
    </row>
    <row r="55" spans="2:11" ht="13.5" hidden="1" thickBot="1" x14ac:dyDescent="0.25">
      <c r="B55" s="43" t="s">
        <v>57</v>
      </c>
      <c r="C55" s="49"/>
      <c r="D55" s="45">
        <f>$W$10</f>
        <v>0</v>
      </c>
      <c r="E55" s="45">
        <f t="shared" ref="E55:K55" si="25">$W$10</f>
        <v>0</v>
      </c>
      <c r="F55" s="45">
        <f t="shared" si="25"/>
        <v>0</v>
      </c>
      <c r="G55" s="45">
        <f t="shared" si="25"/>
        <v>0</v>
      </c>
      <c r="H55" s="45">
        <f t="shared" si="25"/>
        <v>0</v>
      </c>
      <c r="I55" s="45">
        <f t="shared" si="25"/>
        <v>0</v>
      </c>
      <c r="J55" s="45" t="s">
        <v>55</v>
      </c>
      <c r="K55" s="47">
        <f t="shared" si="25"/>
        <v>0</v>
      </c>
    </row>
    <row r="56" spans="2:11" ht="13.5" hidden="1" thickBot="1" x14ac:dyDescent="0.25">
      <c r="B56" s="43" t="s">
        <v>29</v>
      </c>
      <c r="C56" s="49"/>
      <c r="D56" s="45" t="s">
        <v>58</v>
      </c>
      <c r="E56" s="45" t="s">
        <v>58</v>
      </c>
      <c r="F56" s="45" t="s">
        <v>58</v>
      </c>
      <c r="G56" s="45" t="s">
        <v>58</v>
      </c>
      <c r="H56" s="45" t="s">
        <v>58</v>
      </c>
      <c r="I56" s="45" t="s">
        <v>58</v>
      </c>
      <c r="J56" s="45" t="s">
        <v>58</v>
      </c>
      <c r="K56" s="47" t="s">
        <v>39</v>
      </c>
    </row>
    <row r="57" spans="2:11" ht="13.5" hidden="1" thickBot="1" x14ac:dyDescent="0.25">
      <c r="B57" s="43" t="s">
        <v>30</v>
      </c>
      <c r="C57" s="44"/>
      <c r="D57" s="83">
        <v>30</v>
      </c>
      <c r="E57" s="83">
        <v>25</v>
      </c>
      <c r="F57" s="83">
        <v>45</v>
      </c>
      <c r="G57" s="83">
        <v>20</v>
      </c>
      <c r="H57" s="83">
        <v>20</v>
      </c>
      <c r="I57" s="83"/>
      <c r="J57" s="84" t="s">
        <v>55</v>
      </c>
      <c r="K57" s="85" t="s">
        <v>55</v>
      </c>
    </row>
    <row r="58" spans="2:11" ht="13.5" hidden="1" thickBot="1" x14ac:dyDescent="0.25">
      <c r="B58" s="43" t="s">
        <v>31</v>
      </c>
      <c r="C58" s="44"/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7">
        <v>0</v>
      </c>
    </row>
    <row r="59" spans="2:11" ht="13.5" hidden="1" thickBot="1" x14ac:dyDescent="0.25">
      <c r="B59" s="43" t="s">
        <v>32</v>
      </c>
      <c r="C59" s="49"/>
      <c r="D59" s="45" t="s">
        <v>58</v>
      </c>
      <c r="E59" s="45" t="s">
        <v>58</v>
      </c>
      <c r="F59" s="45" t="s">
        <v>58</v>
      </c>
      <c r="G59" s="45" t="s">
        <v>58</v>
      </c>
      <c r="H59" s="45" t="s">
        <v>58</v>
      </c>
      <c r="I59" s="45" t="s">
        <v>58</v>
      </c>
      <c r="J59" s="45" t="s">
        <v>58</v>
      </c>
      <c r="K59" s="47" t="s">
        <v>39</v>
      </c>
    </row>
    <row r="60" spans="2:11" ht="13.5" hidden="1" thickBot="1" x14ac:dyDescent="0.25">
      <c r="B60" s="43" t="s">
        <v>33</v>
      </c>
      <c r="C60" s="49"/>
      <c r="D60" s="54">
        <f t="shared" ref="D60:I60" si="26">IF($D$7&gt;0,D61/$D$7,0)</f>
        <v>0.87619047619047619</v>
      </c>
      <c r="E60" s="54">
        <f t="shared" si="26"/>
        <v>0.92476190476190467</v>
      </c>
      <c r="F60" s="54">
        <f t="shared" si="26"/>
        <v>0.97352380952380946</v>
      </c>
      <c r="G60" s="54">
        <f t="shared" si="26"/>
        <v>0.92476190476190467</v>
      </c>
      <c r="H60" s="54">
        <f t="shared" si="26"/>
        <v>1.2657142857142858</v>
      </c>
      <c r="I60" s="54">
        <f t="shared" si="26"/>
        <v>1.2657142857142858</v>
      </c>
      <c r="J60" s="45" t="s">
        <v>55</v>
      </c>
      <c r="K60" s="57" t="s">
        <v>55</v>
      </c>
    </row>
    <row r="61" spans="2:11" ht="16.5" hidden="1" customHeight="1" x14ac:dyDescent="0.2">
      <c r="B61" s="86" t="s">
        <v>34</v>
      </c>
      <c r="C61" s="87"/>
      <c r="D61" s="72">
        <f t="shared" ref="D61:I61" si="27">D53+D54+D55</f>
        <v>184</v>
      </c>
      <c r="E61" s="88">
        <f t="shared" si="27"/>
        <v>194.2</v>
      </c>
      <c r="F61" s="88">
        <f t="shared" si="27"/>
        <v>204.44</v>
      </c>
      <c r="G61" s="88">
        <f t="shared" si="27"/>
        <v>194.2</v>
      </c>
      <c r="H61" s="88">
        <f t="shared" si="27"/>
        <v>265.8</v>
      </c>
      <c r="I61" s="88">
        <f t="shared" si="27"/>
        <v>265.8</v>
      </c>
      <c r="J61" s="89" t="s">
        <v>55</v>
      </c>
      <c r="K61" s="90" t="s">
        <v>55</v>
      </c>
    </row>
    <row r="62" spans="2:11" ht="15.75" hidden="1" thickBot="1" x14ac:dyDescent="0.3">
      <c r="B62" s="91" t="s">
        <v>59</v>
      </c>
      <c r="C62" s="92" t="s">
        <v>60</v>
      </c>
      <c r="D62" s="92"/>
      <c r="E62" s="93"/>
      <c r="F62" s="93"/>
      <c r="G62" s="93"/>
      <c r="H62" s="93"/>
      <c r="I62" s="94"/>
      <c r="J62" s="95"/>
      <c r="K62" s="96" t="s">
        <v>61</v>
      </c>
    </row>
    <row r="63" spans="2:11" ht="13.5" hidden="1" thickBot="1" x14ac:dyDescent="0.25">
      <c r="B63" s="97" t="s">
        <v>62</v>
      </c>
      <c r="C63" s="98"/>
      <c r="D63" s="7"/>
      <c r="E63" s="98"/>
      <c r="F63" s="98"/>
      <c r="G63" s="98"/>
      <c r="H63" s="98"/>
      <c r="I63" s="7"/>
      <c r="J63" s="99"/>
      <c r="K63" s="100"/>
    </row>
    <row r="64" spans="2:11" ht="13.5" hidden="1" thickBot="1" x14ac:dyDescent="0.25">
      <c r="B64" s="97" t="s">
        <v>63</v>
      </c>
      <c r="C64" s="7"/>
      <c r="D64" s="7"/>
      <c r="E64" s="7"/>
      <c r="F64" s="7"/>
      <c r="G64" s="7"/>
      <c r="H64" s="7"/>
      <c r="I64" s="7"/>
      <c r="J64" s="7"/>
      <c r="K64" s="100"/>
    </row>
    <row r="65" spans="2:11" ht="13.5" hidden="1" thickBot="1" x14ac:dyDescent="0.25">
      <c r="B65" s="97" t="s">
        <v>64</v>
      </c>
      <c r="C65" s="7"/>
      <c r="D65" s="7"/>
      <c r="E65" s="7"/>
      <c r="F65" s="7"/>
      <c r="G65" s="7"/>
      <c r="H65" s="7"/>
      <c r="I65" s="7"/>
      <c r="J65" s="7"/>
      <c r="K65" s="100"/>
    </row>
    <row r="66" spans="2:11" ht="13.5" hidden="1" thickBot="1" x14ac:dyDescent="0.25">
      <c r="B66" s="101" t="s">
        <v>65</v>
      </c>
      <c r="C66" s="102"/>
      <c r="D66" s="102"/>
      <c r="E66" s="102"/>
      <c r="F66" s="102"/>
      <c r="G66" s="102"/>
      <c r="H66" s="102"/>
      <c r="I66" s="102"/>
      <c r="J66" s="102"/>
      <c r="K66" s="103"/>
    </row>
    <row r="67" spans="2:11" ht="13.5" hidden="1" thickBot="1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2:11" ht="16.5" hidden="1" thickBot="1" x14ac:dyDescent="0.3">
      <c r="B68" s="166" t="s">
        <v>66</v>
      </c>
      <c r="C68" s="167"/>
      <c r="D68" s="167"/>
      <c r="E68" s="167"/>
      <c r="F68" s="167"/>
      <c r="G68" s="167"/>
      <c r="H68" s="167"/>
      <c r="I68" s="167"/>
      <c r="J68" s="167"/>
      <c r="K68" s="168"/>
    </row>
    <row r="69" spans="2:11" ht="26.25" hidden="1" thickBot="1" x14ac:dyDescent="0.25">
      <c r="B69" s="79"/>
      <c r="C69" s="80"/>
      <c r="D69" s="81" t="s">
        <v>48</v>
      </c>
      <c r="E69" s="40" t="s">
        <v>67</v>
      </c>
      <c r="F69" s="40" t="s">
        <v>68</v>
      </c>
      <c r="G69" s="41" t="s">
        <v>51</v>
      </c>
      <c r="H69" s="41" t="s">
        <v>23</v>
      </c>
      <c r="I69" s="41" t="s">
        <v>24</v>
      </c>
      <c r="J69" s="41" t="s">
        <v>25</v>
      </c>
      <c r="K69" s="42" t="s">
        <v>26</v>
      </c>
    </row>
    <row r="70" spans="2:11" ht="13.5" hidden="1" thickBot="1" x14ac:dyDescent="0.25">
      <c r="B70" s="43" t="s">
        <v>69</v>
      </c>
      <c r="C70" s="44"/>
      <c r="D70" s="45">
        <v>56</v>
      </c>
      <c r="E70" s="45">
        <v>56</v>
      </c>
      <c r="F70" s="45">
        <v>56</v>
      </c>
      <c r="G70" s="45">
        <v>56</v>
      </c>
      <c r="H70" s="45">
        <v>56</v>
      </c>
      <c r="I70" s="45" t="s">
        <v>39</v>
      </c>
      <c r="J70" s="45" t="s">
        <v>39</v>
      </c>
      <c r="K70" s="47">
        <v>56</v>
      </c>
    </row>
    <row r="71" spans="2:11" ht="13.5" hidden="1" thickBot="1" x14ac:dyDescent="0.25">
      <c r="B71" s="43" t="s">
        <v>70</v>
      </c>
      <c r="C71" s="82"/>
      <c r="D71" s="45">
        <v>8.75</v>
      </c>
      <c r="E71" s="45">
        <v>8.75</v>
      </c>
      <c r="F71" s="45">
        <v>8.75</v>
      </c>
      <c r="G71" s="45">
        <v>8.75</v>
      </c>
      <c r="H71" s="45">
        <v>8.75</v>
      </c>
      <c r="I71" s="45" t="s">
        <v>39</v>
      </c>
      <c r="J71" s="45" t="s">
        <v>39</v>
      </c>
      <c r="K71" s="47">
        <v>8.75</v>
      </c>
    </row>
    <row r="72" spans="2:11" ht="13.5" hidden="1" thickBot="1" x14ac:dyDescent="0.25">
      <c r="B72" s="43" t="s">
        <v>54</v>
      </c>
      <c r="C72" s="49"/>
      <c r="D72" s="45">
        <f>D71*$U$5</f>
        <v>0</v>
      </c>
      <c r="E72" s="45">
        <f>E71*$U$5</f>
        <v>0</v>
      </c>
      <c r="F72" s="45">
        <f>F71*$U$5</f>
        <v>0</v>
      </c>
      <c r="G72" s="45">
        <f>G71*$U$5</f>
        <v>0</v>
      </c>
      <c r="H72" s="45">
        <f>H71*$U$5</f>
        <v>0</v>
      </c>
      <c r="I72" s="45" t="s">
        <v>55</v>
      </c>
      <c r="J72" s="45" t="s">
        <v>55</v>
      </c>
      <c r="K72" s="47">
        <f>K71*$U$5</f>
        <v>0</v>
      </c>
    </row>
    <row r="73" spans="2:11" ht="13.5" hidden="1" thickBot="1" x14ac:dyDescent="0.25">
      <c r="B73" s="43" t="s">
        <v>56</v>
      </c>
      <c r="C73" s="49"/>
      <c r="D73" s="45">
        <f>D70*$V$4</f>
        <v>112</v>
      </c>
      <c r="E73" s="45">
        <f t="shared" ref="E73:K73" si="28">E70*$V$4</f>
        <v>112</v>
      </c>
      <c r="F73" s="45">
        <f t="shared" si="28"/>
        <v>112</v>
      </c>
      <c r="G73" s="45">
        <f t="shared" si="28"/>
        <v>112</v>
      </c>
      <c r="H73" s="45">
        <f t="shared" si="28"/>
        <v>112</v>
      </c>
      <c r="I73" s="45" t="s">
        <v>55</v>
      </c>
      <c r="J73" s="45" t="s">
        <v>55</v>
      </c>
      <c r="K73" s="47">
        <f t="shared" si="28"/>
        <v>112</v>
      </c>
    </row>
    <row r="74" spans="2:11" ht="13.5" hidden="1" thickBot="1" x14ac:dyDescent="0.25">
      <c r="B74" s="43" t="s">
        <v>57</v>
      </c>
      <c r="C74" s="49"/>
      <c r="D74" s="45">
        <f>$W$10</f>
        <v>0</v>
      </c>
      <c r="E74" s="45">
        <f t="shared" ref="E74:K74" si="29">$W$10</f>
        <v>0</v>
      </c>
      <c r="F74" s="45">
        <f t="shared" si="29"/>
        <v>0</v>
      </c>
      <c r="G74" s="45">
        <f t="shared" si="29"/>
        <v>0</v>
      </c>
      <c r="H74" s="45">
        <f t="shared" si="29"/>
        <v>0</v>
      </c>
      <c r="I74" s="45" t="s">
        <v>55</v>
      </c>
      <c r="J74" s="45" t="s">
        <v>55</v>
      </c>
      <c r="K74" s="47">
        <f t="shared" si="29"/>
        <v>0</v>
      </c>
    </row>
    <row r="75" spans="2:11" ht="13.5" hidden="1" thickBot="1" x14ac:dyDescent="0.25">
      <c r="B75" s="43" t="s">
        <v>29</v>
      </c>
      <c r="C75" s="49"/>
      <c r="D75" s="45" t="s">
        <v>58</v>
      </c>
      <c r="E75" s="45" t="s">
        <v>58</v>
      </c>
      <c r="F75" s="45" t="s">
        <v>58</v>
      </c>
      <c r="G75" s="45" t="s">
        <v>58</v>
      </c>
      <c r="H75" s="45" t="s">
        <v>58</v>
      </c>
      <c r="I75" s="45" t="s">
        <v>39</v>
      </c>
      <c r="J75" s="45" t="s">
        <v>39</v>
      </c>
      <c r="K75" s="47" t="s">
        <v>58</v>
      </c>
    </row>
    <row r="76" spans="2:11" ht="13.5" hidden="1" thickBot="1" x14ac:dyDescent="0.25">
      <c r="B76" s="43" t="s">
        <v>30</v>
      </c>
      <c r="C76" s="44"/>
      <c r="D76" s="83">
        <f>D40</f>
        <v>50</v>
      </c>
      <c r="E76" s="83">
        <f>MIN(D40:F40)</f>
        <v>24</v>
      </c>
      <c r="F76" s="83">
        <v>48</v>
      </c>
      <c r="G76" s="83">
        <f>G40</f>
        <v>18</v>
      </c>
      <c r="H76" s="83">
        <f>H40</f>
        <v>23</v>
      </c>
      <c r="I76" s="84">
        <f>I40</f>
        <v>16</v>
      </c>
      <c r="J76" s="84">
        <f>J40</f>
        <v>16</v>
      </c>
      <c r="K76" s="85">
        <f>K40</f>
        <v>17</v>
      </c>
    </row>
    <row r="77" spans="2:11" ht="13.5" hidden="1" thickBot="1" x14ac:dyDescent="0.25">
      <c r="B77" s="43" t="s">
        <v>31</v>
      </c>
      <c r="C77" s="44"/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7">
        <v>0</v>
      </c>
    </row>
    <row r="78" spans="2:11" ht="13.5" hidden="1" thickBot="1" x14ac:dyDescent="0.25">
      <c r="B78" s="43" t="s">
        <v>32</v>
      </c>
      <c r="C78" s="49"/>
      <c r="D78" s="45" t="s">
        <v>58</v>
      </c>
      <c r="E78" s="45" t="s">
        <v>58</v>
      </c>
      <c r="F78" s="45" t="s">
        <v>58</v>
      </c>
      <c r="G78" s="45" t="s">
        <v>58</v>
      </c>
      <c r="H78" s="45" t="s">
        <v>58</v>
      </c>
      <c r="I78" s="45" t="s">
        <v>39</v>
      </c>
      <c r="J78" s="45" t="s">
        <v>39</v>
      </c>
      <c r="K78" s="47" t="s">
        <v>58</v>
      </c>
    </row>
    <row r="79" spans="2:11" ht="13.5" hidden="1" thickBot="1" x14ac:dyDescent="0.25">
      <c r="B79" s="43" t="s">
        <v>33</v>
      </c>
      <c r="C79" s="49"/>
      <c r="D79" s="54">
        <f>IF($D$7&gt;0,D80/$D$7,0)</f>
        <v>0.53333333333333333</v>
      </c>
      <c r="E79" s="54">
        <f t="shared" ref="E79:K79" si="30">IF($D$7&gt;0,E80/$D$7,0)</f>
        <v>0.53333333333333333</v>
      </c>
      <c r="F79" s="54">
        <f t="shared" si="30"/>
        <v>0.53333333333333333</v>
      </c>
      <c r="G79" s="54">
        <f t="shared" si="30"/>
        <v>0.53333333333333333</v>
      </c>
      <c r="H79" s="54">
        <f t="shared" si="30"/>
        <v>0.53333333333333333</v>
      </c>
      <c r="I79" s="45" t="s">
        <v>55</v>
      </c>
      <c r="J79" s="45" t="s">
        <v>55</v>
      </c>
      <c r="K79" s="57">
        <f t="shared" si="30"/>
        <v>0.53333333333333333</v>
      </c>
    </row>
    <row r="80" spans="2:11" ht="16.5" hidden="1" customHeight="1" x14ac:dyDescent="0.2">
      <c r="B80" s="86" t="s">
        <v>34</v>
      </c>
      <c r="C80" s="61"/>
      <c r="D80" s="72">
        <f t="shared" ref="D80:K80" si="31">D72+D73+D74</f>
        <v>112</v>
      </c>
      <c r="E80" s="88">
        <f t="shared" si="31"/>
        <v>112</v>
      </c>
      <c r="F80" s="88">
        <f t="shared" si="31"/>
        <v>112</v>
      </c>
      <c r="G80" s="88">
        <f t="shared" si="31"/>
        <v>112</v>
      </c>
      <c r="H80" s="88">
        <f t="shared" si="31"/>
        <v>112</v>
      </c>
      <c r="I80" s="89" t="s">
        <v>55</v>
      </c>
      <c r="J80" s="89" t="s">
        <v>55</v>
      </c>
      <c r="K80" s="90">
        <f t="shared" si="31"/>
        <v>112</v>
      </c>
    </row>
    <row r="81" spans="2:11" ht="13.5" hidden="1" thickBot="1" x14ac:dyDescent="0.25">
      <c r="B81" s="91" t="s">
        <v>71</v>
      </c>
      <c r="C81" s="92" t="s">
        <v>60</v>
      </c>
      <c r="E81" s="93"/>
      <c r="F81" s="93"/>
      <c r="G81" s="93"/>
      <c r="H81" s="93"/>
      <c r="I81" s="94"/>
      <c r="J81" s="104"/>
      <c r="K81" s="105" t="s">
        <v>72</v>
      </c>
    </row>
    <row r="82" spans="2:11" ht="13.5" hidden="1" thickBot="1" x14ac:dyDescent="0.25">
      <c r="B82" s="97" t="s">
        <v>73</v>
      </c>
      <c r="C82" s="98"/>
      <c r="D82" s="7"/>
      <c r="E82" s="98"/>
      <c r="G82" s="98"/>
      <c r="H82" s="98"/>
      <c r="I82" s="7"/>
      <c r="J82" s="99"/>
      <c r="K82" s="100"/>
    </row>
    <row r="83" spans="2:11" ht="13.5" hidden="1" thickBot="1" x14ac:dyDescent="0.25">
      <c r="B83" s="97" t="s">
        <v>63</v>
      </c>
      <c r="C83" s="7"/>
      <c r="D83" s="7"/>
      <c r="E83" s="7"/>
      <c r="F83" s="7"/>
      <c r="G83" s="7"/>
      <c r="H83" s="7"/>
      <c r="I83" s="7"/>
      <c r="J83" s="7"/>
      <c r="K83" s="100"/>
    </row>
    <row r="84" spans="2:11" ht="13.5" hidden="1" thickBot="1" x14ac:dyDescent="0.25">
      <c r="B84" s="97" t="s">
        <v>74</v>
      </c>
      <c r="C84" s="7"/>
      <c r="D84" s="7"/>
      <c r="E84" s="7"/>
      <c r="F84" s="7"/>
      <c r="G84" s="7"/>
      <c r="H84" s="7"/>
      <c r="I84" s="7"/>
      <c r="J84" s="7"/>
      <c r="K84" s="100"/>
    </row>
    <row r="85" spans="2:11" ht="13.5" hidden="1" thickBot="1" x14ac:dyDescent="0.25">
      <c r="B85" s="101" t="s">
        <v>75</v>
      </c>
      <c r="C85" s="102"/>
      <c r="D85" s="102"/>
      <c r="E85" s="102"/>
      <c r="F85" s="102"/>
      <c r="G85" s="102"/>
      <c r="H85" s="102"/>
      <c r="I85" s="102"/>
      <c r="J85" s="102"/>
      <c r="K85" s="103"/>
    </row>
    <row r="86" spans="2:11" ht="13.5" hidden="1" thickBot="1" x14ac:dyDescent="0.25">
      <c r="B86" s="98"/>
      <c r="C86" s="7"/>
      <c r="D86" s="7"/>
      <c r="E86" s="7"/>
      <c r="F86" s="7"/>
      <c r="G86" s="7"/>
      <c r="H86" s="7"/>
      <c r="I86" s="7"/>
      <c r="J86" s="7"/>
      <c r="K86" s="7"/>
    </row>
    <row r="87" spans="2:11" ht="16.5" thickBot="1" x14ac:dyDescent="0.3">
      <c r="B87" s="106" t="s">
        <v>76</v>
      </c>
      <c r="C87" s="107"/>
      <c r="D87" s="108"/>
      <c r="E87" s="108"/>
      <c r="F87" s="108"/>
      <c r="G87" s="109"/>
      <c r="H87" s="19"/>
      <c r="I87" s="108"/>
      <c r="J87" s="108"/>
      <c r="K87" s="110"/>
    </row>
    <row r="88" spans="2:11" ht="13.5" thickBot="1" x14ac:dyDescent="0.25">
      <c r="B88" s="98"/>
      <c r="C88" s="7"/>
      <c r="D88" s="7"/>
      <c r="E88" s="7"/>
      <c r="F88" s="7"/>
      <c r="G88" s="7"/>
      <c r="H88" s="7"/>
      <c r="I88" s="7"/>
      <c r="J88" s="7"/>
      <c r="K88" s="7"/>
    </row>
    <row r="89" spans="2:11" x14ac:dyDescent="0.2">
      <c r="B89" s="111" t="s">
        <v>77</v>
      </c>
      <c r="C89" s="93"/>
      <c r="D89" s="94"/>
      <c r="E89" s="93"/>
      <c r="F89" s="93"/>
      <c r="G89" s="112"/>
      <c r="H89" s="113"/>
      <c r="I89" s="113"/>
      <c r="J89" s="114"/>
      <c r="K89" s="115"/>
    </row>
    <row r="90" spans="2:11" x14ac:dyDescent="0.2">
      <c r="B90" s="116" t="s">
        <v>78</v>
      </c>
      <c r="C90" s="7"/>
      <c r="D90" s="7"/>
      <c r="E90" s="7"/>
      <c r="F90" s="7"/>
      <c r="G90" s="117"/>
      <c r="H90" s="118"/>
      <c r="I90" s="118"/>
      <c r="K90" s="119"/>
    </row>
    <row r="91" spans="2:11" x14ac:dyDescent="0.2">
      <c r="B91" s="116" t="s">
        <v>79</v>
      </c>
      <c r="C91" s="7"/>
      <c r="D91" s="7"/>
      <c r="E91" s="7"/>
      <c r="F91" s="7"/>
      <c r="G91" s="117"/>
      <c r="H91" s="118"/>
      <c r="I91" s="118"/>
      <c r="K91" s="119"/>
    </row>
    <row r="92" spans="2:11" ht="13.5" thickBot="1" x14ac:dyDescent="0.25">
      <c r="B92" s="120" t="s">
        <v>80</v>
      </c>
      <c r="C92" s="102"/>
      <c r="D92" s="102"/>
      <c r="E92" s="102"/>
      <c r="F92" s="102"/>
      <c r="G92" s="121"/>
      <c r="H92" s="122"/>
      <c r="I92" s="122"/>
      <c r="J92" s="123"/>
      <c r="K92" s="124"/>
    </row>
    <row r="93" spans="2:11" ht="13.5" thickBot="1" x14ac:dyDescent="0.25">
      <c r="B93" s="98"/>
      <c r="C93" s="7"/>
      <c r="D93" s="7"/>
      <c r="E93" s="7"/>
      <c r="F93" s="7"/>
      <c r="G93" s="117"/>
      <c r="H93" s="118"/>
      <c r="I93" s="118"/>
      <c r="J93" s="125"/>
    </row>
    <row r="94" spans="2:11" ht="12.95" customHeight="1" thickBot="1" x14ac:dyDescent="0.25">
      <c r="B94" s="126" t="s">
        <v>81</v>
      </c>
      <c r="C94" s="183" t="s">
        <v>82</v>
      </c>
      <c r="D94" s="183"/>
      <c r="E94" s="183"/>
      <c r="F94" s="183"/>
      <c r="G94" s="184"/>
      <c r="H94" s="7"/>
    </row>
    <row r="95" spans="2:11" ht="13.5" thickBot="1" x14ac:dyDescent="0.25">
      <c r="B95" s="116" t="s">
        <v>83</v>
      </c>
      <c r="C95" s="7"/>
      <c r="D95" s="7"/>
      <c r="E95" s="7"/>
      <c r="F95" s="7"/>
      <c r="G95" s="100"/>
      <c r="H95" s="7"/>
      <c r="I95" s="185" t="s">
        <v>84</v>
      </c>
      <c r="J95" s="185"/>
      <c r="K95" s="185"/>
    </row>
    <row r="96" spans="2:11" ht="24" thickBot="1" x14ac:dyDescent="0.3">
      <c r="B96" s="127" t="s">
        <v>85</v>
      </c>
      <c r="C96" s="128"/>
      <c r="D96" s="128"/>
      <c r="E96" s="128"/>
      <c r="F96" s="128"/>
      <c r="G96" s="129"/>
      <c r="H96" s="7"/>
      <c r="I96" s="130" t="s">
        <v>86</v>
      </c>
      <c r="J96" s="131">
        <v>5.1100000000000003</v>
      </c>
      <c r="K96" s="110" t="s">
        <v>87</v>
      </c>
    </row>
    <row r="97" spans="2:12" ht="24" thickBot="1" x14ac:dyDescent="0.3">
      <c r="B97" s="120"/>
      <c r="C97" s="132"/>
      <c r="D97" s="132"/>
      <c r="E97" s="132"/>
      <c r="F97" s="132"/>
      <c r="G97" s="133"/>
      <c r="H97" s="7"/>
      <c r="I97" s="134" t="s">
        <v>88</v>
      </c>
      <c r="J97" s="135">
        <v>5.266</v>
      </c>
      <c r="K97" s="136" t="s">
        <v>87</v>
      </c>
    </row>
    <row r="98" spans="2:12" ht="16.5" thickBot="1" x14ac:dyDescent="0.3">
      <c r="B98" s="98"/>
      <c r="C98" s="128"/>
      <c r="D98" s="128"/>
      <c r="E98" s="128"/>
      <c r="F98" s="128"/>
      <c r="G98" s="128"/>
      <c r="H98" s="7"/>
      <c r="I98" s="137"/>
      <c r="J98" s="138"/>
      <c r="K98" s="139"/>
    </row>
    <row r="99" spans="2:12" ht="16.5" thickBot="1" x14ac:dyDescent="0.3">
      <c r="B99" s="140" t="s">
        <v>89</v>
      </c>
      <c r="C99" s="141"/>
      <c r="D99" s="141"/>
      <c r="E99" s="142"/>
      <c r="F99" s="143"/>
      <c r="G99" s="144"/>
      <c r="H99" s="144"/>
      <c r="I99" s="144"/>
      <c r="J99" s="145" t="s">
        <v>90</v>
      </c>
      <c r="K99" s="146" t="s">
        <v>91</v>
      </c>
    </row>
    <row r="100" spans="2:12" ht="16.5" thickBot="1" x14ac:dyDescent="0.25">
      <c r="B100" s="147"/>
      <c r="C100" s="148"/>
      <c r="D100" s="148"/>
      <c r="E100" s="7"/>
      <c r="G100" s="149"/>
      <c r="H100" s="149"/>
      <c r="I100" s="7"/>
      <c r="J100" s="7"/>
      <c r="K100" s="119"/>
    </row>
    <row r="101" spans="2:12" ht="15" customHeight="1" thickBot="1" x14ac:dyDescent="0.25">
      <c r="B101" s="150"/>
      <c r="C101" s="7"/>
      <c r="E101" s="7"/>
      <c r="G101" s="151" t="s">
        <v>92</v>
      </c>
      <c r="H101" s="152">
        <v>0.625</v>
      </c>
      <c r="I101" s="7"/>
      <c r="J101" s="7"/>
      <c r="K101" s="119"/>
    </row>
    <row r="102" spans="2:12" ht="15.75" x14ac:dyDescent="0.25">
      <c r="B102" s="153"/>
      <c r="C102" s="154"/>
      <c r="E102" s="128"/>
      <c r="G102" s="155" t="s">
        <v>93</v>
      </c>
      <c r="H102" s="156">
        <f>H101*$D$7</f>
        <v>131.25</v>
      </c>
      <c r="K102" s="119"/>
      <c r="L102" s="66"/>
    </row>
    <row r="103" spans="2:12" ht="15" customHeight="1" thickBot="1" x14ac:dyDescent="0.25">
      <c r="B103" s="157"/>
      <c r="C103" s="149"/>
      <c r="D103" s="149"/>
      <c r="E103" s="7"/>
      <c r="F103" s="7"/>
      <c r="G103" s="7"/>
      <c r="H103" s="7"/>
      <c r="I103" s="7"/>
      <c r="J103" s="7"/>
      <c r="K103" s="100"/>
    </row>
    <row r="104" spans="2:12" ht="15" customHeight="1" thickBot="1" x14ac:dyDescent="0.25">
      <c r="B104" s="150"/>
      <c r="C104" s="7"/>
      <c r="E104" s="7"/>
      <c r="G104" s="151" t="s">
        <v>94</v>
      </c>
      <c r="H104" s="152">
        <v>0.22</v>
      </c>
      <c r="I104" s="7"/>
      <c r="J104" s="7"/>
      <c r="K104" s="119"/>
    </row>
    <row r="105" spans="2:12" ht="15.75" x14ac:dyDescent="0.25">
      <c r="B105" s="153"/>
      <c r="C105" s="154"/>
      <c r="E105" s="128"/>
      <c r="G105" s="155" t="s">
        <v>93</v>
      </c>
      <c r="H105" s="156">
        <f>H104*$D$7</f>
        <v>46.2</v>
      </c>
      <c r="K105" s="119"/>
      <c r="L105" s="66"/>
    </row>
    <row r="106" spans="2:12" ht="6.75" customHeight="1" x14ac:dyDescent="0.2">
      <c r="B106" s="158"/>
      <c r="C106" s="159"/>
      <c r="D106" s="159"/>
      <c r="E106" s="159"/>
      <c r="F106" s="159"/>
      <c r="G106" s="159"/>
      <c r="H106" s="159"/>
      <c r="I106" s="159"/>
      <c r="J106" s="125"/>
      <c r="K106" s="119"/>
    </row>
    <row r="107" spans="2:12" x14ac:dyDescent="0.2">
      <c r="B107" s="160" t="s">
        <v>95</v>
      </c>
      <c r="K107" s="119"/>
    </row>
    <row r="108" spans="2:12" ht="15.75" thickBot="1" x14ac:dyDescent="0.3">
      <c r="B108" s="181" t="s">
        <v>96</v>
      </c>
      <c r="C108" s="182"/>
      <c r="D108" s="182"/>
      <c r="E108" s="182"/>
      <c r="F108" s="182"/>
      <c r="G108" s="161"/>
      <c r="H108" s="161"/>
      <c r="I108" s="161"/>
      <c r="J108" s="161"/>
      <c r="K108" s="124"/>
    </row>
  </sheetData>
  <mergeCells count="14">
    <mergeCell ref="I95:K95"/>
    <mergeCell ref="B108:F108"/>
    <mergeCell ref="B22:K22"/>
    <mergeCell ref="J32:K32"/>
    <mergeCell ref="B35:K35"/>
    <mergeCell ref="B49:K49"/>
    <mergeCell ref="B68:K68"/>
    <mergeCell ref="C94:G94"/>
    <mergeCell ref="B11:K11"/>
    <mergeCell ref="B1:K1"/>
    <mergeCell ref="B2:K2"/>
    <mergeCell ref="E3:H3"/>
    <mergeCell ref="B5:D5"/>
    <mergeCell ref="I7:K7"/>
  </mergeCells>
  <hyperlinks>
    <hyperlink ref="I7" r:id="rId1" display="http://oregon.gov/das/FleetPark/Pages/tools.aspx" xr:uid="{E294C56F-7BE3-4266-AE79-D1405885C47C}"/>
    <hyperlink ref="J32" r:id="rId2" xr:uid="{49505C36-9EB0-47D3-81E5-8130A959E5C4}"/>
    <hyperlink ref="K47" r:id="rId3" display="http://www.hertz.com" xr:uid="{C2404D89-4030-4BD5-8B73-C02CF04787EC}"/>
    <hyperlink ref="K62" r:id="rId4" xr:uid="{E83F35EA-CF86-4AC5-93BE-47CD0653431E}"/>
    <hyperlink ref="K81" r:id="rId5" display="http://www.zipcar.com/oregon" xr:uid="{FD175D38-CF08-4B35-A7C4-0CC64D40265F}"/>
    <hyperlink ref="K99" r:id="rId6" xr:uid="{C3EA7343-3C35-4ECB-B7AC-4AC3792EEE1C}"/>
    <hyperlink ref="B108" r:id="rId7" xr:uid="{9C19A03F-85EA-4CB7-9707-4C04AE412E77}"/>
    <hyperlink ref="C94:G94" r:id="rId8" display="http://arcweb.sos.state.or.us/pages/rules/oars_100/oar_125/125_155.html" xr:uid="{5754BCEF-261D-45FD-8E86-488FE34F40E7}"/>
    <hyperlink ref="B108:F108" r:id="rId9" display="http://www.oregon.gov/das/Financial/Acctng/Documents/40.10.00.pdf" xr:uid="{D4E14223-8BFC-4253-8D9C-0BEF300B977E}"/>
  </hyperlinks>
  <pageMargins left="0.7" right="0.7" top="0.75" bottom="0.75" header="0.3" footer="0.3"/>
  <legacy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841A22F859C140938C4BCC501F249D" ma:contentTypeVersion="2" ma:contentTypeDescription="Create a new document." ma:contentTypeScope="" ma:versionID="cd2b01589fe5bda8a535371902f45b4f">
  <xsd:schema xmlns:xsd="http://www.w3.org/2001/XMLSchema" xmlns:xs="http://www.w3.org/2001/XMLSchema" xmlns:p="http://schemas.microsoft.com/office/2006/metadata/properties" xmlns:ns3="a8cc0de1-b7cb-4bc3-88c5-e29e4e45eaf5" targetNamespace="http://schemas.microsoft.com/office/2006/metadata/properties" ma:root="true" ma:fieldsID="c9a79f32b5e6034cce051203cc03bc1f" ns3:_="">
    <xsd:import namespace="a8cc0de1-b7cb-4bc3-88c5-e29e4e45ea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c0de1-b7cb-4bc3-88c5-e29e4e45ea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EC14E5-5063-4EAC-A017-DF3C0BA45D47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a8cc0de1-b7cb-4bc3-88c5-e29e4e45eaf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469F448-4D91-4114-9656-C80750E5C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cc0de1-b7cb-4bc3-88c5-e29e4e45ea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EC188B-3E69-429B-ADE2-7B13BE4A23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input</vt:lpstr>
      <vt:lpstr>original</vt:lpstr>
      <vt:lpstr>adding car pick up mileage</vt:lpstr>
    </vt:vector>
  </TitlesOfParts>
  <Company>Western Oregon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Brophy</dc:creator>
  <cp:lastModifiedBy>XuanXuan Villeneuve</cp:lastModifiedBy>
  <cp:lastPrinted>2023-02-01T00:59:14Z</cp:lastPrinted>
  <dcterms:created xsi:type="dcterms:W3CDTF">2022-10-12T19:40:34Z</dcterms:created>
  <dcterms:modified xsi:type="dcterms:W3CDTF">2023-02-02T20:43:46Z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0x0101000D841A22F859C140938C4BCC501F249D</vt:lpwstr>
  </property>
</Properties>
</file>